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meldg\TLV Forsyning ApS Dropbox\Michael Christensen\Michael\Varmeværket\Miljømappe\GMC 2022\"/>
    </mc:Choice>
  </mc:AlternateContent>
  <xr:revisionPtr revIDLastSave="0" documentId="13_ncr:1_{E969DD0B-6A89-48B5-AB72-118534A989DC}" xr6:coauthVersionLast="47" xr6:coauthVersionMax="47" xr10:uidLastSave="{00000000-0000-0000-0000-000000000000}"/>
  <bookViews>
    <workbookView xWindow="8088" yWindow="72" windowWidth="21948" windowHeight="16356" xr2:uid="{00000000-000D-0000-FFFF-FFFF00000000}"/>
  </bookViews>
  <sheets>
    <sheet name="Nøgletal 2020-2021" sheetId="21" r:id="rId1"/>
  </sheets>
  <externalReferences>
    <externalReference r:id="rId2"/>
    <externalReference r:id="rId3"/>
    <externalReference r:id="rId4"/>
    <externalReference r:id="rId5"/>
  </externalReferenc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1" l="1"/>
  <c r="E75" i="21"/>
  <c r="E58" i="21"/>
  <c r="D58" i="21"/>
  <c r="D16" i="21"/>
  <c r="E80" i="21"/>
  <c r="D80" i="21"/>
  <c r="E84" i="21"/>
  <c r="D84" i="21"/>
  <c r="E85" i="21"/>
  <c r="D85" i="21"/>
  <c r="E86" i="21"/>
  <c r="D86" i="21"/>
  <c r="D87" i="21"/>
  <c r="D88" i="21"/>
  <c r="E89" i="21"/>
  <c r="D89" i="21"/>
  <c r="E90" i="21"/>
  <c r="D90" i="21"/>
  <c r="D15" i="21"/>
  <c r="E128" i="21"/>
  <c r="E48" i="21"/>
  <c r="E49" i="21"/>
  <c r="E50" i="21"/>
  <c r="E51" i="21"/>
  <c r="E52" i="21"/>
  <c r="E53" i="21"/>
  <c r="E54" i="21"/>
  <c r="E55" i="21"/>
  <c r="E56" i="21"/>
  <c r="E57" i="21"/>
  <c r="E47" i="21"/>
  <c r="E129" i="21"/>
  <c r="E112" i="21"/>
  <c r="E111" i="21"/>
  <c r="M111" i="21"/>
  <c r="E115" i="21"/>
  <c r="E40" i="21"/>
  <c r="E64" i="21"/>
  <c r="E15" i="21"/>
  <c r="E19" i="21"/>
  <c r="E28" i="21"/>
  <c r="E26" i="21"/>
  <c r="E23" i="21"/>
  <c r="E32" i="21"/>
  <c r="E31" i="21"/>
  <c r="E30" i="21"/>
  <c r="E29" i="21"/>
  <c r="E25" i="21"/>
  <c r="E24" i="21"/>
  <c r="C28" i="21"/>
  <c r="D28" i="21"/>
  <c r="C30" i="21"/>
  <c r="D30" i="21"/>
  <c r="C24" i="21"/>
  <c r="D24" i="21"/>
  <c r="C25" i="21"/>
  <c r="D25" i="21"/>
  <c r="C29" i="21"/>
  <c r="D29" i="21"/>
  <c r="C23" i="21"/>
  <c r="D23" i="21"/>
  <c r="C26" i="21"/>
  <c r="D26" i="21"/>
  <c r="C31" i="21"/>
  <c r="D31" i="21"/>
  <c r="C32" i="21"/>
  <c r="D32" i="21"/>
  <c r="D34" i="21"/>
  <c r="C27" i="21"/>
  <c r="E27" i="21"/>
  <c r="D27" i="21"/>
  <c r="E81" i="21"/>
  <c r="D99" i="21"/>
  <c r="E87" i="21"/>
  <c r="D40" i="21"/>
  <c r="E44" i="21"/>
  <c r="D35" i="21"/>
  <c r="E96" i="21"/>
  <c r="E95" i="21"/>
  <c r="D92" i="21"/>
  <c r="D91" i="21"/>
  <c r="E18" i="21"/>
  <c r="H10" i="21"/>
  <c r="E20" i="21"/>
  <c r="E21" i="21"/>
  <c r="E62" i="21"/>
  <c r="E88" i="21"/>
  <c r="F111" i="21"/>
  <c r="G111" i="21"/>
  <c r="F112" i="21"/>
  <c r="G112" i="21"/>
  <c r="F114" i="21"/>
  <c r="G114" i="21"/>
  <c r="F120" i="21"/>
  <c r="G128" i="21"/>
  <c r="F48" i="21"/>
  <c r="F49" i="21"/>
  <c r="F50" i="21"/>
  <c r="F51" i="21"/>
  <c r="F52" i="21"/>
  <c r="F53" i="21"/>
  <c r="F54" i="21"/>
  <c r="F55" i="21"/>
  <c r="F56" i="21"/>
  <c r="F57" i="21"/>
  <c r="F47" i="21"/>
  <c r="F129" i="21"/>
  <c r="G48" i="21"/>
  <c r="G49" i="21"/>
  <c r="G50" i="21"/>
  <c r="G52" i="21"/>
  <c r="G53" i="21"/>
  <c r="G55" i="21"/>
  <c r="G47" i="21"/>
  <c r="G129" i="21"/>
  <c r="F80" i="21"/>
  <c r="G80" i="21"/>
  <c r="F40" i="21"/>
  <c r="F64" i="21"/>
  <c r="F15" i="21"/>
  <c r="F81" i="21"/>
  <c r="G64" i="21"/>
  <c r="G15" i="21"/>
  <c r="G81" i="21"/>
  <c r="F84" i="21"/>
  <c r="G84" i="21"/>
  <c r="F86" i="21"/>
  <c r="F87" i="21"/>
  <c r="G87" i="21"/>
  <c r="F88" i="21"/>
  <c r="F89" i="21"/>
  <c r="F95" i="21"/>
  <c r="G95" i="21"/>
  <c r="F96" i="21"/>
  <c r="G96" i="21"/>
  <c r="F44" i="21"/>
  <c r="D57" i="21"/>
  <c r="D56" i="21"/>
  <c r="D55" i="21"/>
  <c r="D54" i="21"/>
  <c r="D53" i="21"/>
  <c r="D52" i="21"/>
  <c r="D51" i="21"/>
  <c r="D50" i="21"/>
  <c r="D49" i="21"/>
  <c r="D48" i="21"/>
  <c r="J10" i="21"/>
  <c r="I10" i="21"/>
  <c r="F18" i="21"/>
  <c r="F20" i="21"/>
  <c r="G18" i="21"/>
  <c r="F19" i="21"/>
  <c r="G19" i="21"/>
  <c r="F21" i="21"/>
  <c r="F38" i="21"/>
  <c r="G38" i="21"/>
  <c r="F45" i="21"/>
  <c r="F58" i="21"/>
  <c r="G58" i="21"/>
  <c r="F59" i="21"/>
  <c r="G59" i="21"/>
  <c r="F62" i="21"/>
  <c r="G62" i="21"/>
  <c r="F75" i="21"/>
  <c r="G75" i="21"/>
  <c r="F76" i="21"/>
  <c r="G76" i="21"/>
  <c r="S17" i="21"/>
  <c r="T16" i="21"/>
  <c r="R35" i="21"/>
  <c r="R19" i="21"/>
  <c r="D74" i="21"/>
  <c r="D72" i="21"/>
  <c r="D70" i="21"/>
  <c r="D69" i="21"/>
  <c r="D68" i="21"/>
  <c r="D67" i="21"/>
  <c r="D66" i="21"/>
  <c r="D65" i="21"/>
  <c r="M122" i="21"/>
  <c r="E124" i="21"/>
  <c r="M126" i="21"/>
  <c r="E125" i="21"/>
  <c r="M110" i="21"/>
  <c r="E121" i="21"/>
  <c r="M114" i="21"/>
  <c r="E122" i="21"/>
  <c r="M118" i="21"/>
  <c r="E123" i="21"/>
  <c r="M123" i="21"/>
  <c r="E118" i="21"/>
  <c r="M127" i="21"/>
  <c r="E119" i="21"/>
  <c r="M115" i="21"/>
  <c r="E116" i="21"/>
  <c r="M119" i="21"/>
  <c r="E117" i="21"/>
  <c r="D96" i="21"/>
  <c r="D95" i="21"/>
  <c r="D73" i="21"/>
  <c r="D71" i="21"/>
  <c r="E114" i="21"/>
  <c r="E120" i="21"/>
  <c r="E59" i="21"/>
  <c r="E45" i="21"/>
  <c r="E38" i="21"/>
  <c r="E76" i="21"/>
</calcChain>
</file>

<file path=xl/sharedStrings.xml><?xml version="1.0" encoding="utf-8"?>
<sst xmlns="http://schemas.openxmlformats.org/spreadsheetml/2006/main" count="251" uniqueCount="156">
  <si>
    <t>Enhed</t>
  </si>
  <si>
    <t>8. Nøgletal, nøgleoplysninger og forbrug</t>
  </si>
  <si>
    <t>Nøgletal</t>
  </si>
  <si>
    <t>Vigtigste oplysninger fra kortlægningsrapporten</t>
  </si>
  <si>
    <t>Miljøforhold</t>
  </si>
  <si>
    <t>%</t>
  </si>
  <si>
    <t>kg.</t>
  </si>
  <si>
    <t>Trustrup - Lyngby Varmeværk a.m.b.a.</t>
  </si>
  <si>
    <t>Forbrug:</t>
  </si>
  <si>
    <t>Produktion:</t>
  </si>
  <si>
    <t>2. El</t>
  </si>
  <si>
    <t>Liter</t>
  </si>
  <si>
    <t xml:space="preserve"> 4.1 Rentvandsforbrug total</t>
  </si>
  <si>
    <t>m³</t>
  </si>
  <si>
    <t>5. Kemikalier</t>
  </si>
  <si>
    <t xml:space="preserve"> 5.3 NaOH (pH just i vasketårn)</t>
  </si>
  <si>
    <t>6. Spildevand til kloak</t>
  </si>
  <si>
    <t xml:space="preserve"> 6.1 Spildevandudledning til kloak</t>
  </si>
  <si>
    <t>µg/l</t>
  </si>
  <si>
    <t>Udledning:</t>
  </si>
  <si>
    <t xml:space="preserve"> 7.2 Askeslam fra sedimetering</t>
  </si>
  <si>
    <t>8. Miljøaffald</t>
  </si>
  <si>
    <t xml:space="preserve"> 8.1 Spildolie (Djursl. spildoliedepot)</t>
  </si>
  <si>
    <t>Kg.</t>
  </si>
  <si>
    <t xml:space="preserve"> 8.2 Olieudskiller (tømningsordn.)</t>
  </si>
  <si>
    <t xml:space="preserve">    2.1.1 Elforbrug / prod. varme</t>
  </si>
  <si>
    <t xml:space="preserve"> 9.1 Hydraulikolie</t>
  </si>
  <si>
    <t xml:space="preserve"> 9.2 Smøreolie - Fedt</t>
  </si>
  <si>
    <t>9. Øvrigt forbrug</t>
  </si>
  <si>
    <t xml:space="preserve"> 5.1 Uranin farvestof til fjv-vand</t>
  </si>
  <si>
    <t>Ton</t>
  </si>
  <si>
    <t>Antal forbrugere</t>
  </si>
  <si>
    <t>Stk.</t>
  </si>
  <si>
    <t>Km.</t>
  </si>
  <si>
    <t>Ledningsnet hovedledninger</t>
  </si>
  <si>
    <t>Ledningsnet stikledninger</t>
  </si>
  <si>
    <t xml:space="preserve"> 5.5 Polymér (sediment. spildevand)</t>
  </si>
  <si>
    <t xml:space="preserve"> 5.4 PAX XL60 (flokulering spildevand)</t>
  </si>
  <si>
    <t xml:space="preserve">    6.1.1Spildevand produceret</t>
  </si>
  <si>
    <t xml:space="preserve">    6.1.2 Spildevand genanvendt</t>
  </si>
  <si>
    <t xml:space="preserve"> Km.</t>
  </si>
  <si>
    <t>MWh</t>
  </si>
  <si>
    <t>KWh / MWh</t>
  </si>
  <si>
    <t>2019-2020</t>
  </si>
  <si>
    <t xml:space="preserve">  1.5 Prod. på Flisanlæg Trustrup</t>
  </si>
  <si>
    <t xml:space="preserve">  1.1 Varme solgt i alt</t>
  </si>
  <si>
    <t xml:space="preserve">  1.5 Prod. på Flisanlæg Ørum</t>
  </si>
  <si>
    <t xml:space="preserve">  1.5 Prod. på Flisanlæg Glesborg</t>
  </si>
  <si>
    <t xml:space="preserve">  1.5 Prod. på Flisanlæg Stenvad</t>
  </si>
  <si>
    <t xml:space="preserve">  1.5 Prod. på Flisanlæg Gjerrild</t>
  </si>
  <si>
    <t xml:space="preserve">  1.5 Prod. på Flisanlæg Voldby</t>
  </si>
  <si>
    <t xml:space="preserve">  1.5 Prod. på Flisanlæg Tirstrup</t>
  </si>
  <si>
    <t>Bemærkning</t>
  </si>
  <si>
    <t xml:space="preserve">  1.5 Prod. på Flisanlæg Balle</t>
  </si>
  <si>
    <t xml:space="preserve">  1.5 Prod. på Træpilleanlæg Mesballe</t>
  </si>
  <si>
    <t xml:space="preserve">  1.5 Prod. på Træpilleanlæg Rosmus</t>
  </si>
  <si>
    <t xml:space="preserve"> 5.2 Kedelvæske(pH just af fjv-vand)</t>
  </si>
  <si>
    <t xml:space="preserve">  1.8 Prod. Oliekedel Balle</t>
  </si>
  <si>
    <t xml:space="preserve">  1.8 Prod. Oliekedel Rosmus</t>
  </si>
  <si>
    <t xml:space="preserve">  1.8 Prod. Oliekedel Tirstrup</t>
  </si>
  <si>
    <t xml:space="preserve">  1.8 Prod. Oliekedel Mesballe</t>
  </si>
  <si>
    <t xml:space="preserve">  1.8 Prod. Oliekedel Voldby</t>
  </si>
  <si>
    <t xml:space="preserve">  1.8 Prod. Oliekedel Gjerrild</t>
  </si>
  <si>
    <t xml:space="preserve">  1.8 Prod. Oliekedel Stenvad</t>
  </si>
  <si>
    <t xml:space="preserve">  1.8 Prod. Oliekedel Glesborg</t>
  </si>
  <si>
    <t xml:space="preserve">  1.8 Prod. Oliekedel Ørum</t>
  </si>
  <si>
    <t xml:space="preserve">  1.8 Prod. Oliekedel Trustrup</t>
  </si>
  <si>
    <t xml:space="preserve">  1.3 Solvarmedækning i procent</t>
  </si>
  <si>
    <t>2020-2021</t>
  </si>
  <si>
    <t xml:space="preserve">  1.4 Prod. Varmepumper Balle</t>
  </si>
  <si>
    <t xml:space="preserve">  1.4 Prod. Varmepumper Tirstrup</t>
  </si>
  <si>
    <t xml:space="preserve">  1.4 Prod. Varmepumper Mesballe</t>
  </si>
  <si>
    <t xml:space="preserve">  1.4 Prod. Varmepumper SCOP</t>
  </si>
  <si>
    <t>Gjerrild</t>
  </si>
  <si>
    <t>Glesborg</t>
  </si>
  <si>
    <t>Ørum</t>
  </si>
  <si>
    <t>Trustrup</t>
  </si>
  <si>
    <t>Voldby</t>
  </si>
  <si>
    <t>SUM</t>
  </si>
  <si>
    <t>6.2.1 Gjerrild</t>
  </si>
  <si>
    <t>6.2.2 Glesborg</t>
  </si>
  <si>
    <t>6.2.3 Ørum</t>
  </si>
  <si>
    <t>6.2.4 Trustrup</t>
  </si>
  <si>
    <t>6.2.5 Voldby</t>
  </si>
  <si>
    <t>6.3.1 Gjerrild</t>
  </si>
  <si>
    <t>6.3.2 Glesborg</t>
  </si>
  <si>
    <t>6.3.3 Ørum</t>
  </si>
  <si>
    <t>6.3.4 Trustrup</t>
  </si>
  <si>
    <t>6.3.5 Voldby</t>
  </si>
  <si>
    <t>6.2 Cadmium gennemsnit</t>
  </si>
  <si>
    <t>6.3 Kviksølv gennemsnit</t>
  </si>
  <si>
    <t xml:space="preserve">  1.4 Varmepumpedækning i %</t>
  </si>
  <si>
    <t>1.5 Biomassekedler produceret</t>
  </si>
  <si>
    <t xml:space="preserve">  1.7 Biogas-dækning i %</t>
  </si>
  <si>
    <t xml:space="preserve">  1.8 Oliekedel årsvirkningsgrad</t>
  </si>
  <si>
    <t xml:space="preserve">  1.5 Biokedler årsvirkningsgrad</t>
  </si>
  <si>
    <t xml:space="preserve"> 1.5 Biomasse-dækning i %</t>
  </si>
  <si>
    <t xml:space="preserve">  1.8 Oliekedel-dækning i %</t>
  </si>
  <si>
    <t>4. Vandforbrug</t>
  </si>
  <si>
    <t xml:space="preserve"> 4.1.1 Spædevand til fjv-net</t>
  </si>
  <si>
    <t>Kg/MWh</t>
  </si>
  <si>
    <t>7.1 Aske/slagge pr.MWh biomasse prod.</t>
  </si>
  <si>
    <t>1. Varmeproduktion i alt produceret</t>
  </si>
  <si>
    <t>7. Restprodukt (RGS-Nordic)</t>
  </si>
  <si>
    <t xml:space="preserve"> 7.1 Aske/slagge til genanvendelse</t>
  </si>
  <si>
    <t>3. Energi-ressourser forbrugt</t>
  </si>
  <si>
    <t>Virkningsgrad</t>
  </si>
  <si>
    <t>Gennemsnit</t>
  </si>
  <si>
    <t>Nm3</t>
  </si>
  <si>
    <t xml:space="preserve"> 3.2 Træpiller købt</t>
  </si>
  <si>
    <t xml:space="preserve"> 3.3 Gasolie til varmeproduktion købt</t>
  </si>
  <si>
    <t xml:space="preserve"> 3.4 Biogas til varmeproduktion</t>
  </si>
  <si>
    <t>Kr.</t>
  </si>
  <si>
    <t xml:space="preserve"> 1.2.2 Ledningstab værdi </t>
  </si>
  <si>
    <t xml:space="preserve"> 1.2.3 Ledningstab værdi pr. forbruger</t>
  </si>
  <si>
    <t>η</t>
  </si>
  <si>
    <t xml:space="preserve">  2.1 El-forbrug totalt ex. Varmepumper</t>
  </si>
  <si>
    <t>Værdi</t>
  </si>
  <si>
    <t xml:space="preserve"> 3.7 Dieselolie nødgenerator</t>
  </si>
  <si>
    <t xml:space="preserve"> 3.8 Brændstof til varebiler</t>
  </si>
  <si>
    <t xml:space="preserve"> 3.5 El-forbrug Solvarme</t>
  </si>
  <si>
    <t xml:space="preserve"> 3.5 El-forbrug varmepumper</t>
  </si>
  <si>
    <t>Prod.omkostninger</t>
  </si>
  <si>
    <t>1.2 Ledningstab i procent SAMLET</t>
  </si>
  <si>
    <t>Prod. Total</t>
  </si>
  <si>
    <t>Ledningstab</t>
  </si>
  <si>
    <t xml:space="preserve">  1.2 Trustrup-Lyngby varmeværk</t>
  </si>
  <si>
    <t xml:space="preserve">  1.2 Ørum varmeværk</t>
  </si>
  <si>
    <t xml:space="preserve">  1.2 Glesborg varmeværk</t>
  </si>
  <si>
    <t xml:space="preserve">  1.2 Stenvad varmeværk</t>
  </si>
  <si>
    <t xml:space="preserve">  1.2 Gjerrild varmeværk</t>
  </si>
  <si>
    <t xml:space="preserve">  1.2 Voldby varmeværk</t>
  </si>
  <si>
    <t xml:space="preserve">  1.2 Mesballe varmeværk</t>
  </si>
  <si>
    <t xml:space="preserve">  1.2 Tirstrup varmeværk</t>
  </si>
  <si>
    <t xml:space="preserve">  1.2 Rosmus varmeværk</t>
  </si>
  <si>
    <t xml:space="preserve">  1.2 Balle/Hoed/Glatved varmeværk</t>
  </si>
  <si>
    <t>1.2 ledningstab pr. meter fjv.ledning</t>
  </si>
  <si>
    <t>KWh/m/år</t>
  </si>
  <si>
    <t>W/m/time</t>
  </si>
  <si>
    <t>Ledningstab %</t>
  </si>
  <si>
    <t>1.2 Ledningstab</t>
  </si>
  <si>
    <t>1.3 Solvarme produceret</t>
  </si>
  <si>
    <t>1.4 Varmepumper produceret</t>
  </si>
  <si>
    <t>1.7 Prod. Biogas-kedel Balle</t>
  </si>
  <si>
    <t>1.8 Oliekedler produceret</t>
  </si>
  <si>
    <t>kr./MWh tab</t>
  </si>
  <si>
    <t>Nye stikledn. Tab i %</t>
  </si>
  <si>
    <t>Udgift nye stikledn.</t>
  </si>
  <si>
    <t>Nyt ledn. Tab v/nye stikledn.</t>
  </si>
  <si>
    <t>Sidst revideret d.  14 - 02 - 2023</t>
  </si>
  <si>
    <t>Forsynes fra Balle</t>
  </si>
  <si>
    <t>3.11 Stammeflis købt</t>
  </si>
  <si>
    <t xml:space="preserve"> 3.1 Skovflis købt</t>
  </si>
  <si>
    <t>inkl. ovnst.</t>
  </si>
  <si>
    <t>kr./Prod. MWh</t>
  </si>
  <si>
    <t>Prod. på olie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</si>
</sst>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\.\ mmmm\ yyyy"/>
    <numFmt numFmtId="165" formatCode="#,##0.000"/>
    <numFmt numFmtId="166" formatCode="_-* #,##0\ [$kr.-406]_-;\-* #,##0\ [$kr.-406]_-;_-* &quot;-&quot;??\ [$kr.-406]_-;_-@_-"/>
    <numFmt numFmtId="167" formatCode="_-* #,##0\ [$kr.-406]_-;\-* #,##0\ [$kr.-406]_-;_-* &quot;-&quot;\ [$kr.-406]_-;_-@_-"/>
    <numFmt numFmtId="168" formatCode="_-* #,##0.00\ [$kr.-406]_-;\-* #,##0.00\ [$kr.-406]_-;_-* &quot;-&quot;??\ [$kr.-406]_-;_-@_-"/>
  </numFmts>
  <fonts count="21" x14ac:knownFonts="1">
    <font>
      <sz val="12"/>
      <name val="Arial"/>
    </font>
    <font>
      <sz val="10"/>
      <name val="Calibri"/>
      <family val="2"/>
    </font>
    <font>
      <sz val="12"/>
      <name val="Calibri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0"/>
      <color rgb="FFFF0000"/>
      <name val="Calibri"/>
      <family val="2"/>
    </font>
    <font>
      <sz val="10"/>
      <color rgb="FFFF0000"/>
      <name val="Calibri"/>
      <family val="2"/>
    </font>
    <font>
      <sz val="12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i/>
      <sz val="10"/>
      <name val="Calibri"/>
      <family val="2"/>
    </font>
    <font>
      <i/>
      <sz val="12"/>
      <name val="Calibri"/>
      <family val="2"/>
    </font>
    <font>
      <b/>
      <i/>
      <sz val="10"/>
      <name val="Calibri"/>
      <family val="2"/>
    </font>
    <font>
      <b/>
      <i/>
      <sz val="12"/>
      <name val="Calibri"/>
      <family val="2"/>
    </font>
    <font>
      <i/>
      <sz val="10"/>
      <color rgb="FF00B050"/>
      <name val="Calibri"/>
      <family val="2"/>
    </font>
    <font>
      <sz val="12"/>
      <name val="Arial"/>
      <family val="2"/>
    </font>
    <font>
      <i/>
      <sz val="12"/>
      <color rgb="FF00B050"/>
      <name val="Calibri"/>
      <family val="2"/>
    </font>
    <font>
      <i/>
      <sz val="12"/>
      <name val="Arial"/>
      <family val="2"/>
    </font>
    <font>
      <sz val="10"/>
      <color rgb="FF00B050"/>
      <name val="Calibri"/>
      <family val="2"/>
    </font>
    <font>
      <sz val="12"/>
      <color rgb="FF00B05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/>
    <xf numFmtId="164" fontId="3" fillId="2" borderId="1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5" xfId="0" applyNumberFormat="1" applyFont="1" applyBorder="1" applyAlignment="1">
      <alignment horizontal="right"/>
    </xf>
    <xf numFmtId="0" fontId="1" fillId="2" borderId="4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2" borderId="9" xfId="0" applyFont="1" applyFill="1" applyBorder="1"/>
    <xf numFmtId="0" fontId="3" fillId="0" borderId="9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3" xfId="0" applyFont="1" applyBorder="1" applyAlignment="1">
      <alignment horizontal="center"/>
    </xf>
    <xf numFmtId="0" fontId="2" fillId="0" borderId="11" xfId="0" applyFont="1" applyBorder="1"/>
    <xf numFmtId="0" fontId="1" fillId="0" borderId="12" xfId="0" applyFont="1" applyBorder="1" applyAlignment="1">
      <alignment horizontal="left" vertical="top"/>
    </xf>
    <xf numFmtId="0" fontId="3" fillId="2" borderId="14" xfId="0" applyFont="1" applyFill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3" fillId="2" borderId="10" xfId="0" applyFont="1" applyFill="1" applyBorder="1"/>
    <xf numFmtId="0" fontId="5" fillId="2" borderId="16" xfId="0" applyFont="1" applyFill="1" applyBorder="1" applyAlignment="1">
      <alignment vertical="top" wrapText="1"/>
    </xf>
    <xf numFmtId="3" fontId="7" fillId="0" borderId="0" xfId="0" applyNumberFormat="1" applyFont="1" applyAlignment="1">
      <alignment horizontal="right"/>
    </xf>
    <xf numFmtId="0" fontId="3" fillId="0" borderId="21" xfId="0" applyFont="1" applyBorder="1" applyAlignment="1">
      <alignment horizontal="center"/>
    </xf>
    <xf numFmtId="3" fontId="1" fillId="0" borderId="20" xfId="0" applyNumberFormat="1" applyFont="1" applyBorder="1" applyAlignment="1">
      <alignment horizontal="right"/>
    </xf>
    <xf numFmtId="3" fontId="1" fillId="2" borderId="20" xfId="0" applyNumberFormat="1" applyFont="1" applyFill="1" applyBorder="1" applyAlignment="1">
      <alignment horizontal="right"/>
    </xf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4" xfId="0" applyFont="1" applyBorder="1" applyAlignment="1">
      <alignment horizontal="center"/>
    </xf>
    <xf numFmtId="0" fontId="7" fillId="0" borderId="9" xfId="0" applyFont="1" applyBorder="1"/>
    <xf numFmtId="0" fontId="7" fillId="0" borderId="0" xfId="0" applyFont="1" applyAlignment="1">
      <alignment horizontal="center"/>
    </xf>
    <xf numFmtId="0" fontId="10" fillId="0" borderId="0" xfId="0" applyFont="1"/>
    <xf numFmtId="3" fontId="1" fillId="2" borderId="5" xfId="0" applyNumberFormat="1" applyFont="1" applyFill="1" applyBorder="1" applyAlignment="1">
      <alignment horizontal="right"/>
    </xf>
    <xf numFmtId="164" fontId="9" fillId="2" borderId="17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12" xfId="0" applyFont="1" applyBorder="1"/>
    <xf numFmtId="3" fontId="7" fillId="0" borderId="13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right"/>
    </xf>
    <xf numFmtId="0" fontId="9" fillId="0" borderId="0" xfId="0" applyFont="1"/>
    <xf numFmtId="4" fontId="10" fillId="0" borderId="0" xfId="0" applyNumberFormat="1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11" fillId="0" borderId="9" xfId="0" applyFont="1" applyBorder="1"/>
    <xf numFmtId="0" fontId="11" fillId="0" borderId="4" xfId="0" applyFont="1" applyBorder="1" applyAlignment="1">
      <alignment horizontal="center"/>
    </xf>
    <xf numFmtId="4" fontId="12" fillId="0" borderId="0" xfId="0" applyNumberFormat="1" applyFont="1"/>
    <xf numFmtId="0" fontId="12" fillId="0" borderId="0" xfId="0" applyFont="1"/>
    <xf numFmtId="0" fontId="13" fillId="0" borderId="9" xfId="0" applyFont="1" applyBorder="1"/>
    <xf numFmtId="0" fontId="14" fillId="0" borderId="0" xfId="0" applyFont="1"/>
    <xf numFmtId="4" fontId="14" fillId="0" borderId="0" xfId="0" applyNumberFormat="1" applyFont="1"/>
    <xf numFmtId="0" fontId="15" fillId="0" borderId="9" xfId="0" applyFont="1" applyBorder="1"/>
    <xf numFmtId="0" fontId="15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3" fontId="1" fillId="2" borderId="9" xfId="0" applyNumberFormat="1" applyFont="1" applyFill="1" applyBorder="1" applyAlignment="1">
      <alignment horizontal="center"/>
    </xf>
    <xf numFmtId="4" fontId="3" fillId="0" borderId="9" xfId="0" applyNumberFormat="1" applyFont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4" fontId="13" fillId="0" borderId="9" xfId="0" applyNumberFormat="1" applyFont="1" applyBorder="1" applyAlignment="1">
      <alignment horizontal="right"/>
    </xf>
    <xf numFmtId="4" fontId="15" fillId="0" borderId="9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right"/>
    </xf>
    <xf numFmtId="4" fontId="11" fillId="0" borderId="9" xfId="0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1" fillId="2" borderId="9" xfId="0" applyNumberFormat="1" applyFont="1" applyFill="1" applyBorder="1" applyAlignment="1">
      <alignment horizontal="right"/>
    </xf>
    <xf numFmtId="165" fontId="13" fillId="0" borderId="9" xfId="0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3" fontId="7" fillId="0" borderId="10" xfId="0" applyNumberFormat="1" applyFont="1" applyBorder="1" applyAlignment="1">
      <alignment horizontal="right"/>
    </xf>
    <xf numFmtId="4" fontId="3" fillId="0" borderId="1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12" xfId="0" applyNumberFormat="1" applyFont="1" applyBorder="1" applyAlignment="1">
      <alignment horizontal="right"/>
    </xf>
    <xf numFmtId="0" fontId="17" fillId="0" borderId="0" xfId="0" applyFont="1"/>
    <xf numFmtId="164" fontId="3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4" fontId="1" fillId="0" borderId="28" xfId="0" applyNumberFormat="1" applyFont="1" applyBorder="1" applyAlignment="1">
      <alignment horizontal="center"/>
    </xf>
    <xf numFmtId="164" fontId="9" fillId="2" borderId="18" xfId="0" applyNumberFormat="1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center"/>
    </xf>
    <xf numFmtId="4" fontId="19" fillId="0" borderId="9" xfId="0" applyNumberFormat="1" applyFont="1" applyBorder="1" applyAlignment="1">
      <alignment horizontal="right"/>
    </xf>
    <xf numFmtId="0" fontId="20" fillId="0" borderId="0" xfId="0" applyFont="1"/>
    <xf numFmtId="3" fontId="1" fillId="0" borderId="0" xfId="1" applyNumberFormat="1" applyFont="1" applyBorder="1" applyAlignment="1">
      <alignment horizontal="center"/>
    </xf>
    <xf numFmtId="3" fontId="1" fillId="0" borderId="24" xfId="1" applyNumberFormat="1" applyFont="1" applyBorder="1" applyAlignment="1">
      <alignment horizontal="center"/>
    </xf>
    <xf numFmtId="4" fontId="1" fillId="0" borderId="12" xfId="0" applyNumberFormat="1" applyFont="1" applyBorder="1" applyAlignment="1">
      <alignment horizontal="right"/>
    </xf>
    <xf numFmtId="4" fontId="1" fillId="0" borderId="9" xfId="0" applyNumberFormat="1" applyFont="1" applyBorder="1" applyAlignment="1">
      <alignment horizontal="center"/>
    </xf>
    <xf numFmtId="3" fontId="20" fillId="0" borderId="0" xfId="0" applyNumberFormat="1" applyFont="1"/>
    <xf numFmtId="166" fontId="2" fillId="0" borderId="0" xfId="0" applyNumberFormat="1" applyFont="1"/>
    <xf numFmtId="49" fontId="3" fillId="2" borderId="25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4" fontId="1" fillId="0" borderId="27" xfId="0" applyNumberFormat="1" applyFont="1" applyBorder="1" applyAlignment="1">
      <alignment horizontal="right"/>
    </xf>
    <xf numFmtId="4" fontId="3" fillId="0" borderId="27" xfId="0" applyNumberFormat="1" applyFont="1" applyBorder="1" applyAlignment="1">
      <alignment horizontal="right"/>
    </xf>
    <xf numFmtId="4" fontId="7" fillId="0" borderId="27" xfId="0" applyNumberFormat="1" applyFont="1" applyBorder="1" applyAlignment="1">
      <alignment horizontal="right"/>
    </xf>
    <xf numFmtId="3" fontId="1" fillId="0" borderId="27" xfId="0" applyNumberFormat="1" applyFont="1" applyBorder="1" applyAlignment="1">
      <alignment horizontal="right"/>
    </xf>
    <xf numFmtId="3" fontId="7" fillId="0" borderId="27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13" xfId="0" applyNumberFormat="1" applyFont="1" applyBorder="1" applyAlignment="1">
      <alignment horizontal="right"/>
    </xf>
    <xf numFmtId="4" fontId="3" fillId="0" borderId="13" xfId="0" applyNumberFormat="1" applyFont="1" applyBorder="1" applyAlignment="1">
      <alignment horizontal="right"/>
    </xf>
    <xf numFmtId="4" fontId="7" fillId="0" borderId="13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4" fontId="1" fillId="0" borderId="22" xfId="0" applyNumberFormat="1" applyFont="1" applyBorder="1" applyAlignment="1">
      <alignment horizontal="right"/>
    </xf>
    <xf numFmtId="4" fontId="11" fillId="0" borderId="27" xfId="0" applyNumberFormat="1" applyFont="1" applyBorder="1" applyAlignment="1">
      <alignment horizontal="right"/>
    </xf>
    <xf numFmtId="10" fontId="15" fillId="0" borderId="24" xfId="1" applyNumberFormat="1" applyFont="1" applyBorder="1" applyAlignment="1">
      <alignment horizontal="center"/>
    </xf>
    <xf numFmtId="10" fontId="1" fillId="0" borderId="24" xfId="1" applyNumberFormat="1" applyFont="1" applyBorder="1" applyAlignment="1">
      <alignment horizontal="center"/>
    </xf>
    <xf numFmtId="10" fontId="3" fillId="0" borderId="24" xfId="1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49" fontId="3" fillId="2" borderId="31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1" fillId="0" borderId="4" xfId="0" applyNumberFormat="1" applyFont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0" fontId="3" fillId="2" borderId="23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166" fontId="1" fillId="0" borderId="2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3" fontId="1" fillId="0" borderId="27" xfId="1" applyNumberFormat="1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168" fontId="11" fillId="0" borderId="27" xfId="0" applyNumberFormat="1" applyFont="1" applyBorder="1"/>
    <xf numFmtId="0" fontId="12" fillId="0" borderId="27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4" fontId="11" fillId="0" borderId="27" xfId="0" applyNumberFormat="1" applyFont="1" applyBorder="1" applyAlignment="1">
      <alignment horizontal="center"/>
    </xf>
    <xf numFmtId="10" fontId="11" fillId="0" borderId="27" xfId="1" applyNumberFormat="1" applyFont="1" applyBorder="1" applyAlignment="1">
      <alignment horizontal="center"/>
    </xf>
    <xf numFmtId="10" fontId="11" fillId="0" borderId="2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67" fontId="1" fillId="0" borderId="27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167" fontId="11" fillId="0" borderId="27" xfId="0" applyNumberFormat="1" applyFont="1" applyBorder="1" applyAlignment="1">
      <alignment horizontal="center"/>
    </xf>
    <xf numFmtId="10" fontId="1" fillId="0" borderId="4" xfId="1" applyNumberFormat="1" applyFont="1" applyBorder="1" applyAlignment="1">
      <alignment horizontal="right"/>
    </xf>
    <xf numFmtId="0" fontId="3" fillId="2" borderId="32" xfId="0" applyFont="1" applyFill="1" applyBorder="1"/>
    <xf numFmtId="0" fontId="1" fillId="2" borderId="33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3" fontId="1" fillId="2" borderId="34" xfId="0" applyNumberFormat="1" applyFont="1" applyFill="1" applyBorder="1" applyAlignment="1">
      <alignment horizontal="right"/>
    </xf>
    <xf numFmtId="3" fontId="1" fillId="2" borderId="35" xfId="0" applyNumberFormat="1" applyFont="1" applyFill="1" applyBorder="1" applyAlignment="1">
      <alignment horizontal="right"/>
    </xf>
    <xf numFmtId="3" fontId="1" fillId="2" borderId="36" xfId="0" applyNumberFormat="1" applyFont="1" applyFill="1" applyBorder="1" applyAlignment="1">
      <alignment horizontal="right"/>
    </xf>
    <xf numFmtId="49" fontId="3" fillId="2" borderId="23" xfId="0" applyNumberFormat="1" applyFont="1" applyFill="1" applyBorder="1" applyAlignment="1">
      <alignment horizontal="center"/>
    </xf>
    <xf numFmtId="0" fontId="1" fillId="0" borderId="12" xfId="0" applyFont="1" applyBorder="1"/>
    <xf numFmtId="166" fontId="1" fillId="0" borderId="0" xfId="0" applyNumberFormat="1" applyFont="1" applyAlignment="1">
      <alignment horizontal="center" vertical="center"/>
    </xf>
    <xf numFmtId="166" fontId="1" fillId="0" borderId="26" xfId="0" applyNumberFormat="1" applyFont="1" applyBorder="1" applyAlignment="1">
      <alignment horizontal="center" vertical="center"/>
    </xf>
    <xf numFmtId="166" fontId="1" fillId="0" borderId="27" xfId="0" applyNumberFormat="1" applyFont="1" applyBorder="1" applyAlignment="1">
      <alignment horizontal="center" vertical="center"/>
    </xf>
    <xf numFmtId="166" fontId="1" fillId="0" borderId="28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18" xfId="0" applyFont="1" applyBorder="1" applyAlignment="1">
      <alignment horizontal="left" vertical="top"/>
    </xf>
    <xf numFmtId="0" fontId="2" fillId="0" borderId="19" xfId="0" applyFont="1" applyBorder="1"/>
    <xf numFmtId="0" fontId="9" fillId="0" borderId="15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5" fillId="2" borderId="1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11" fillId="0" borderId="13" xfId="0" applyFont="1" applyBorder="1" applyAlignment="1">
      <alignment horizontal="right"/>
    </xf>
    <xf numFmtId="4" fontId="11" fillId="0" borderId="4" xfId="0" applyNumberFormat="1" applyFont="1" applyFill="1" applyBorder="1" applyAlignment="1">
      <alignment horizontal="right"/>
    </xf>
    <xf numFmtId="166" fontId="1" fillId="0" borderId="27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165" fontId="11" fillId="0" borderId="20" xfId="0" applyNumberFormat="1" applyFont="1" applyBorder="1" applyAlignment="1">
      <alignment horizontal="right"/>
    </xf>
    <xf numFmtId="4" fontId="1" fillId="0" borderId="20" xfId="0" applyNumberFormat="1" applyFont="1" applyBorder="1" applyAlignment="1">
      <alignment horizontal="right"/>
    </xf>
    <xf numFmtId="165" fontId="1" fillId="0" borderId="2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3" fontId="7" fillId="0" borderId="20" xfId="0" applyNumberFormat="1" applyFont="1" applyBorder="1" applyAlignment="1">
      <alignment horizontal="right"/>
    </xf>
    <xf numFmtId="167" fontId="11" fillId="0" borderId="0" xfId="0" applyNumberFormat="1" applyFont="1" applyBorder="1" applyAlignment="1">
      <alignment horizontal="center"/>
    </xf>
    <xf numFmtId="4" fontId="11" fillId="0" borderId="20" xfId="0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3" fontId="7" fillId="0" borderId="37" xfId="0" applyNumberFormat="1" applyFont="1" applyBorder="1" applyAlignment="1">
      <alignment horizontal="right"/>
    </xf>
    <xf numFmtId="0" fontId="6" fillId="0" borderId="21" xfId="0" applyFont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3" fontId="1" fillId="2" borderId="20" xfId="0" applyNumberFormat="1" applyFont="1" applyFill="1" applyBorder="1" applyAlignment="1">
      <alignment horizontal="center"/>
    </xf>
    <xf numFmtId="4" fontId="3" fillId="0" borderId="2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4" fontId="15" fillId="0" borderId="20" xfId="0" applyNumberFormat="1" applyFont="1" applyBorder="1" applyAlignment="1">
      <alignment horizontal="right"/>
    </xf>
    <xf numFmtId="4" fontId="19" fillId="0" borderId="20" xfId="0" applyNumberFormat="1" applyFont="1" applyBorder="1" applyAlignment="1">
      <alignment horizontal="right"/>
    </xf>
    <xf numFmtId="0" fontId="2" fillId="0" borderId="0" xfId="0" applyFont="1" applyBorder="1"/>
    <xf numFmtId="4" fontId="11" fillId="0" borderId="0" xfId="0" applyNumberFormat="1" applyFont="1" applyBorder="1" applyAlignment="1">
      <alignment horizontal="right"/>
    </xf>
    <xf numFmtId="0" fontId="18" fillId="0" borderId="0" xfId="0" applyFont="1" applyBorder="1" applyAlignment="1">
      <alignment horizontal="center"/>
    </xf>
    <xf numFmtId="4" fontId="3" fillId="0" borderId="37" xfId="0" applyNumberFormat="1" applyFont="1" applyBorder="1" applyAlignment="1">
      <alignment horizontal="right"/>
    </xf>
    <xf numFmtId="166" fontId="7" fillId="0" borderId="20" xfId="0" applyNumberFormat="1" applyFont="1" applyBorder="1" applyAlignment="1">
      <alignment horizontal="center" vertical="center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122360</xdr:colOff>
      <xdr:row>0</xdr:row>
      <xdr:rowOff>32239</xdr:rowOff>
    </xdr:from>
    <xdr:to>
      <xdr:col>0</xdr:col>
      <xdr:colOff>820616</xdr:colOff>
      <xdr:row>2</xdr:row>
      <xdr:rowOff>134327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360" y="32239"/>
          <a:ext cx="698256" cy="500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512618</xdr:colOff>
      <xdr:row>0</xdr:row>
      <xdr:rowOff>20784</xdr:rowOff>
    </xdr:from>
    <xdr:to>
      <xdr:col>6</xdr:col>
      <xdr:colOff>602672</xdr:colOff>
      <xdr:row>2</xdr:row>
      <xdr:rowOff>64633</xdr:rowOff>
    </xdr:to>
    <xdr:pic>
      <xdr:nvPicPr>
        <xdr:cNvPr id="5" name="Billede 4">
          <a:extLst>
            <a:ext uri="{FF2B5EF4-FFF2-40B4-BE49-F238E27FC236}">
              <a16:creationId xmlns:a16="http://schemas.microsoft.com/office/drawing/2014/main" id="{7C8E6E88-4E3D-5A0B-8589-1622588215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8345" y="20784"/>
          <a:ext cx="921327" cy="4456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ldg\TLV%20Forsyning%20ApS%20Dropbox\Michael%20Christensen\Michael\Varmev&#230;rket\M&#229;nedsopg&#248;relser\2022\M&#229;nedsafl&#230;sninger%20maskinjournal%20alle%20v&#230;rker.xlsx" TargetMode="External"/><Relationship Id="rId1" Type="http://schemas.openxmlformats.org/officeDocument/2006/relationships/externalLinkPath" Target="/Users/meldg/TLV%20Forsyning%20ApS%20Dropbox/Michael%20Christensen/Michael/Varmev&#230;rket/M&#229;nedsopg&#248;relser/2022/M&#229;nedsafl&#230;sninger%20maskinjournal%20alle%20v&#230;rker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eldg\TLV%20Forsyning%20ApS%20Dropbox\Michael%20Christensen\Michael\Varmev&#230;rket\M&#229;nedsopg&#248;relser\2022\Flisopg&#248;relse%20december%202022.xlsx" TargetMode="External"/><Relationship Id="rId1" Type="http://schemas.openxmlformats.org/officeDocument/2006/relationships/externalLinkPath" Target="/Users/meldg/TLV%20Forsyning%20ApS%20Dropbox/Michael%20Christensen/Michael/Varmev&#230;rket/M&#229;nedsopg&#248;relser/2022/Flisopg&#248;relse%20december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dg/TLV%20Forsyning%20ApS%20Dropbox/Michael%20Christensen/Michael/Varmev&#230;rket/M&#229;nedsopg&#248;relser/2020_2021/M&#229;nedsafl&#230;sninger%20maskinjournal%20alle%20v&#230;rk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dg/Dropbox/Michael/Varmev&#230;rket/M&#229;nedsopg&#248;relser/2019_2020/M&#229;nedsafl&#230;sninger%20maskinjournal%20alle%20v&#230;rk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ånedsaflæsninger"/>
      <sheetName val="Forbrug"/>
      <sheetName val="Månedsrapport"/>
      <sheetName val="Lageropgørelse"/>
    </sheetNames>
    <sheetDataSet>
      <sheetData sheetId="0"/>
      <sheetData sheetId="1">
        <row r="211">
          <cell r="P211">
            <v>16524</v>
          </cell>
        </row>
      </sheetData>
      <sheetData sheetId="2">
        <row r="7">
          <cell r="P7">
            <v>38062.765244444439</v>
          </cell>
        </row>
        <row r="8">
          <cell r="P8">
            <v>9516.1572237037035</v>
          </cell>
        </row>
        <row r="9">
          <cell r="P9">
            <v>2094.3449999999998</v>
          </cell>
        </row>
        <row r="10">
          <cell r="P10">
            <v>206936.24499999997</v>
          </cell>
        </row>
        <row r="11">
          <cell r="P11">
            <v>575.66399999999999</v>
          </cell>
        </row>
        <row r="12">
          <cell r="P12">
            <v>79.214130000000011</v>
          </cell>
        </row>
        <row r="13">
          <cell r="P13">
            <v>1076662</v>
          </cell>
        </row>
        <row r="21">
          <cell r="P21">
            <v>2398.4630000000002</v>
          </cell>
        </row>
        <row r="22">
          <cell r="P22">
            <v>7400.9080000000013</v>
          </cell>
        </row>
        <row r="23">
          <cell r="P23">
            <v>2260.7220000000002</v>
          </cell>
        </row>
        <row r="40">
          <cell r="P40">
            <v>19438.104000000028</v>
          </cell>
        </row>
        <row r="58">
          <cell r="D58">
            <v>49962.400000000001</v>
          </cell>
          <cell r="E58">
            <v>374718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vf. Trello"/>
      <sheetName val="Samlet køb"/>
      <sheetName val="Balle"/>
      <sheetName val="Gjerrild"/>
      <sheetName val="Glesborg"/>
      <sheetName val="Mesballe"/>
      <sheetName val="Rosmus"/>
      <sheetName val="Stenvad"/>
      <sheetName val="Tirstrup"/>
      <sheetName val="Trustrup"/>
      <sheetName val="Voldby"/>
      <sheetName val="Ørum"/>
    </sheetNames>
    <sheetDataSet>
      <sheetData sheetId="0" refreshError="1"/>
      <sheetData sheetId="1">
        <row r="9">
          <cell r="G9">
            <v>1948.9446399999997</v>
          </cell>
          <cell r="L9">
            <v>10549.578877037036</v>
          </cell>
        </row>
        <row r="10">
          <cell r="L10">
            <v>5874.2156237037025</v>
          </cell>
        </row>
        <row r="11">
          <cell r="L11">
            <v>1184.3999999999999</v>
          </cell>
        </row>
        <row r="12">
          <cell r="L12">
            <v>5672.4947555555545</v>
          </cell>
        </row>
        <row r="13">
          <cell r="L13">
            <v>909.94499999999982</v>
          </cell>
        </row>
        <row r="14">
          <cell r="L14">
            <v>3641.9415999999997</v>
          </cell>
        </row>
        <row r="15">
          <cell r="L15">
            <v>7597.7155703703684</v>
          </cell>
        </row>
        <row r="16">
          <cell r="L16">
            <v>6923.2278222222212</v>
          </cell>
        </row>
        <row r="17">
          <cell r="L17">
            <v>3675.7323851851843</v>
          </cell>
        </row>
        <row r="18">
          <cell r="L18">
            <v>5592.9604740740742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aflæsninger"/>
      <sheetName val="Forbrug"/>
      <sheetName val="Månedsrapport"/>
      <sheetName val="Lageropgørelse"/>
    </sheetNames>
    <sheetDataSet>
      <sheetData sheetId="0"/>
      <sheetData sheetId="1"/>
      <sheetData sheetId="2">
        <row r="7">
          <cell r="P7">
            <v>49592.110840740737</v>
          </cell>
        </row>
        <row r="8">
          <cell r="P8">
            <v>2871.09</v>
          </cell>
        </row>
        <row r="9">
          <cell r="P9">
            <v>265459.41499999992</v>
          </cell>
        </row>
        <row r="10">
          <cell r="P10">
            <v>1605.5340000000001</v>
          </cell>
        </row>
        <row r="11">
          <cell r="P11">
            <v>1076559.5</v>
          </cell>
        </row>
        <row r="18">
          <cell r="P18">
            <v>2184.02</v>
          </cell>
        </row>
        <row r="19">
          <cell r="P19">
            <v>6648.963999999999</v>
          </cell>
        </row>
        <row r="20">
          <cell r="P20">
            <v>2364.6494000000002</v>
          </cell>
        </row>
        <row r="47">
          <cell r="Q47">
            <v>35639.894497367226</v>
          </cell>
        </row>
        <row r="54">
          <cell r="D54">
            <v>87151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ånedsaflæsninger"/>
      <sheetName val="Forbrug"/>
      <sheetName val="Månedsrapport"/>
      <sheetName val="Lageropgørelse"/>
    </sheetNames>
    <sheetDataSet>
      <sheetData sheetId="0"/>
      <sheetData sheetId="1"/>
      <sheetData sheetId="2">
        <row r="9">
          <cell r="P9">
            <v>35672.989127407403</v>
          </cell>
        </row>
        <row r="10">
          <cell r="P10">
            <v>2478.6899999999996</v>
          </cell>
        </row>
        <row r="11">
          <cell r="P11">
            <v>1322684.2</v>
          </cell>
        </row>
        <row r="16">
          <cell r="P16">
            <v>2137.56</v>
          </cell>
        </row>
        <row r="17">
          <cell r="P17">
            <v>218.55000000000004</v>
          </cell>
        </row>
        <row r="18">
          <cell r="P18">
            <v>2223.6160000000004</v>
          </cell>
        </row>
        <row r="19">
          <cell r="P19">
            <v>4934.8100000000031</v>
          </cell>
        </row>
        <row r="51">
          <cell r="D51">
            <v>33908.436000000002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0"/>
  <sheetViews>
    <sheetView tabSelected="1" topLeftCell="A20" zoomScale="110" zoomScaleNormal="110" workbookViewId="0">
      <selection activeCell="Y30" sqref="Y30"/>
    </sheetView>
  </sheetViews>
  <sheetFormatPr defaultRowHeight="15" x14ac:dyDescent="0.25"/>
  <cols>
    <col min="1" max="1" width="24.7265625" customWidth="1"/>
    <col min="3" max="3" width="11" bestFit="1" customWidth="1"/>
    <col min="4" max="4" width="13.6328125" style="80" bestFit="1" customWidth="1"/>
    <col min="5" max="6" width="9.90625" bestFit="1" customWidth="1"/>
    <col min="7" max="7" width="7.81640625" bestFit="1" customWidth="1"/>
    <col min="8" max="8" width="9.26953125" hidden="1" customWidth="1"/>
    <col min="9" max="9" width="7.54296875" hidden="1" customWidth="1"/>
    <col min="10" max="10" width="5.08984375" hidden="1" customWidth="1"/>
    <col min="11" max="11" width="5.36328125" hidden="1" customWidth="1"/>
    <col min="12" max="12" width="13.81640625" hidden="1" customWidth="1"/>
    <col min="13" max="13" width="4.6328125" hidden="1" customWidth="1"/>
    <col min="14" max="14" width="10.36328125" hidden="1" customWidth="1"/>
    <col min="15" max="23" width="8.7265625" hidden="1" customWidth="1"/>
    <col min="24" max="28" width="8.7265625" customWidth="1"/>
  </cols>
  <sheetData>
    <row r="1" spans="1:21" s="2" customFormat="1" ht="15.6" x14ac:dyDescent="0.3">
      <c r="A1" s="1"/>
      <c r="D1" s="79"/>
    </row>
    <row r="2" spans="1:21" s="2" customFormat="1" ht="15.6" x14ac:dyDescent="0.3">
      <c r="A2" s="1"/>
      <c r="D2" s="79"/>
    </row>
    <row r="3" spans="1:21" s="2" customFormat="1" ht="16.2" thickBot="1" x14ac:dyDescent="0.35">
      <c r="A3" s="1"/>
      <c r="D3" s="79"/>
      <c r="E3" s="157" t="s">
        <v>7</v>
      </c>
      <c r="F3" s="157"/>
      <c r="G3" s="157"/>
    </row>
    <row r="4" spans="1:21" s="2" customFormat="1" ht="23.4" x14ac:dyDescent="0.3">
      <c r="A4" s="158" t="s">
        <v>1</v>
      </c>
      <c r="B4" s="159"/>
      <c r="C4" s="159"/>
      <c r="D4" s="159"/>
      <c r="E4" s="159"/>
      <c r="F4" s="159"/>
      <c r="G4" s="21"/>
    </row>
    <row r="5" spans="1:21" s="2" customFormat="1" ht="15.6" x14ac:dyDescent="0.3">
      <c r="A5" s="22" t="s">
        <v>3</v>
      </c>
      <c r="D5" s="79"/>
      <c r="E5" s="167" t="s">
        <v>149</v>
      </c>
      <c r="F5" s="167"/>
      <c r="G5" s="168"/>
    </row>
    <row r="6" spans="1:21" s="2" customFormat="1" ht="16.2" thickBot="1" x14ac:dyDescent="0.35">
      <c r="A6" s="160"/>
      <c r="B6" s="161"/>
      <c r="C6" s="161"/>
      <c r="D6" s="161"/>
      <c r="E6" s="161"/>
      <c r="F6" s="161"/>
      <c r="G6" s="162"/>
    </row>
    <row r="7" spans="1:21" s="2" customFormat="1" ht="19.5" customHeight="1" thickBot="1" x14ac:dyDescent="0.35">
      <c r="A7" s="163" t="s">
        <v>2</v>
      </c>
      <c r="B7" s="164"/>
      <c r="C7" s="164"/>
      <c r="D7" s="164"/>
      <c r="E7" s="165"/>
      <c r="F7" s="165"/>
      <c r="G7" s="166"/>
    </row>
    <row r="8" spans="1:21" s="4" customFormat="1" ht="15" customHeight="1" x14ac:dyDescent="0.3">
      <c r="A8" s="23"/>
      <c r="B8" s="3"/>
      <c r="C8" s="3"/>
      <c r="D8" s="3"/>
      <c r="E8" s="99">
        <v>2022</v>
      </c>
      <c r="F8" s="84" t="s">
        <v>68</v>
      </c>
      <c r="G8" s="84" t="s">
        <v>43</v>
      </c>
    </row>
    <row r="9" spans="1:21" s="4" customFormat="1" ht="15" customHeight="1" x14ac:dyDescent="0.3">
      <c r="A9" s="24" t="s">
        <v>31</v>
      </c>
      <c r="B9" s="5" t="s">
        <v>32</v>
      </c>
      <c r="C9" s="5"/>
      <c r="D9" s="5"/>
      <c r="E9" s="85">
        <v>1965</v>
      </c>
      <c r="F9" s="85">
        <v>1868</v>
      </c>
      <c r="G9" s="85">
        <v>1841</v>
      </c>
    </row>
    <row r="10" spans="1:21" s="4" customFormat="1" ht="15" customHeight="1" x14ac:dyDescent="0.3">
      <c r="A10" s="24" t="s">
        <v>34</v>
      </c>
      <c r="B10" s="5" t="s">
        <v>40</v>
      </c>
      <c r="C10" s="5"/>
      <c r="D10" s="5"/>
      <c r="E10" s="86">
        <v>51.365000000000002</v>
      </c>
      <c r="F10" s="86">
        <v>50.926000000000002</v>
      </c>
      <c r="G10" s="86">
        <v>50.326000000000001</v>
      </c>
      <c r="H10" s="4">
        <f>(E10+E11)*1000</f>
        <v>89755</v>
      </c>
      <c r="I10" s="4">
        <f t="shared" ref="I10:J10" si="0">(F10+F11)*1000</f>
        <v>87431.000000000015</v>
      </c>
      <c r="J10" s="4">
        <f t="shared" si="0"/>
        <v>86231</v>
      </c>
    </row>
    <row r="11" spans="1:21" s="4" customFormat="1" ht="15" customHeight="1" thickBot="1" x14ac:dyDescent="0.35">
      <c r="A11" s="25" t="s">
        <v>35</v>
      </c>
      <c r="B11" s="6" t="s">
        <v>33</v>
      </c>
      <c r="C11" s="6"/>
      <c r="D11" s="6"/>
      <c r="E11" s="87">
        <v>38.39</v>
      </c>
      <c r="F11" s="87">
        <v>36.505000000000003</v>
      </c>
      <c r="G11" s="87">
        <v>35.905000000000001</v>
      </c>
    </row>
    <row r="12" spans="1:21" s="8" customFormat="1" ht="25.5" customHeight="1" thickBot="1" x14ac:dyDescent="0.35">
      <c r="A12" s="26" t="s">
        <v>4</v>
      </c>
      <c r="B12" s="7" t="s">
        <v>0</v>
      </c>
      <c r="C12" s="60" t="s">
        <v>52</v>
      </c>
      <c r="D12" s="125" t="s">
        <v>117</v>
      </c>
      <c r="E12" s="120">
        <v>2022</v>
      </c>
      <c r="F12" s="83" t="s">
        <v>68</v>
      </c>
      <c r="G12" s="83" t="s">
        <v>43</v>
      </c>
    </row>
    <row r="13" spans="1:21" s="34" customFormat="1" ht="15" customHeight="1" x14ac:dyDescent="0.3">
      <c r="A13" s="32"/>
      <c r="B13" s="33"/>
      <c r="C13" s="61"/>
      <c r="D13" s="126"/>
      <c r="E13" s="33"/>
      <c r="F13" s="63"/>
      <c r="G13" s="185"/>
    </row>
    <row r="14" spans="1:21" s="39" customFormat="1" ht="15.6" x14ac:dyDescent="0.3">
      <c r="A14" s="16" t="s">
        <v>9</v>
      </c>
      <c r="B14" s="10"/>
      <c r="C14" s="186"/>
      <c r="D14" s="127"/>
      <c r="E14" s="121"/>
      <c r="F14" s="64"/>
      <c r="G14" s="187"/>
    </row>
    <row r="15" spans="1:21" s="47" customFormat="1" ht="15.6" x14ac:dyDescent="0.3">
      <c r="A15" s="17" t="s">
        <v>102</v>
      </c>
      <c r="B15" s="11" t="s">
        <v>41</v>
      </c>
      <c r="C15" s="197">
        <f>D16-D15</f>
        <v>-750568.98541131988</v>
      </c>
      <c r="D15" s="128">
        <f>D80+D84+D85+D86+D87+D88+D89+D89+D90</f>
        <v>15399991.043111321</v>
      </c>
      <c r="E15" s="101">
        <f>E37+E40+E47+E61+E64</f>
        <v>53131.30000000001</v>
      </c>
      <c r="F15" s="65">
        <f>F37+F40+F47+F61+F64</f>
        <v>55119.329999999994</v>
      </c>
      <c r="G15" s="188">
        <f>G37+G47+G61+G64</f>
        <v>39656</v>
      </c>
      <c r="R15" s="47">
        <v>48000</v>
      </c>
    </row>
    <row r="16" spans="1:21" s="47" customFormat="1" ht="15.6" x14ac:dyDescent="0.3">
      <c r="A16" s="17" t="s">
        <v>45</v>
      </c>
      <c r="B16" s="11" t="s">
        <v>41</v>
      </c>
      <c r="C16" s="197"/>
      <c r="D16" s="128">
        <f>((C23-D23)*310)+((C24+C25+C26+C27+C28+C29+C30+C31+C32-D24-D25-D26-D27-D28-D29-D30-D31-D32)*480)</f>
        <v>14649422.057700001</v>
      </c>
      <c r="E16" s="101">
        <v>33689</v>
      </c>
      <c r="F16" s="65">
        <v>35807</v>
      </c>
      <c r="G16" s="188">
        <v>25969</v>
      </c>
      <c r="R16" s="47">
        <v>35807</v>
      </c>
      <c r="T16" s="47">
        <f>(E11*1000)*2000</f>
        <v>76780000</v>
      </c>
      <c r="U16" s="47" t="s">
        <v>147</v>
      </c>
    </row>
    <row r="17" spans="1:20" s="47" customFormat="1" ht="15.6" x14ac:dyDescent="0.3">
      <c r="A17" s="17"/>
      <c r="B17" s="11"/>
      <c r="C17" s="173"/>
      <c r="D17" s="129"/>
      <c r="E17" s="101"/>
      <c r="F17" s="65"/>
      <c r="G17" s="188"/>
      <c r="S17" s="47">
        <f>R15-R16</f>
        <v>12193</v>
      </c>
      <c r="T17" s="47" t="s">
        <v>148</v>
      </c>
    </row>
    <row r="18" spans="1:20" s="39" customFormat="1" ht="15.6" x14ac:dyDescent="0.3">
      <c r="A18" s="17" t="s">
        <v>140</v>
      </c>
      <c r="B18" s="11" t="s">
        <v>41</v>
      </c>
      <c r="C18" s="189"/>
      <c r="D18" s="129"/>
      <c r="E18" s="102">
        <f>(E15)-E16</f>
        <v>19442.30000000001</v>
      </c>
      <c r="F18" s="66">
        <f>(F15)-F16</f>
        <v>19312.329999999994</v>
      </c>
      <c r="G18" s="30">
        <f>(G15)-G16</f>
        <v>13687</v>
      </c>
    </row>
    <row r="19" spans="1:20" s="82" customFormat="1" ht="15.6" x14ac:dyDescent="0.3">
      <c r="A19" s="58" t="s">
        <v>123</v>
      </c>
      <c r="B19" s="59" t="s">
        <v>5</v>
      </c>
      <c r="C19" s="116"/>
      <c r="D19" s="130"/>
      <c r="E19" s="169">
        <f>100-(100/E15*E16)</f>
        <v>36.592931097112256</v>
      </c>
      <c r="F19" s="70">
        <f>100-(100/F15*F16)</f>
        <v>35.037309052922083</v>
      </c>
      <c r="G19" s="182">
        <f>100-(100/G15*G16)</f>
        <v>34.514323179342341</v>
      </c>
      <c r="R19" s="68">
        <f>100-(100/R15*R16)</f>
        <v>25.402083333333337</v>
      </c>
      <c r="S19" s="82" t="s">
        <v>146</v>
      </c>
    </row>
    <row r="20" spans="1:20" s="2" customFormat="1" ht="15.6" x14ac:dyDescent="0.3">
      <c r="A20" s="18" t="s">
        <v>136</v>
      </c>
      <c r="B20" s="11" t="s">
        <v>137</v>
      </c>
      <c r="C20" s="117"/>
      <c r="D20" s="86"/>
      <c r="E20" s="190">
        <f>(E18*1000)/H10</f>
        <v>216.61523034928427</v>
      </c>
      <c r="F20" s="95">
        <f>(F18*1000)/I10</f>
        <v>220.88652766181323</v>
      </c>
      <c r="G20" s="176"/>
    </row>
    <row r="21" spans="1:20" s="2" customFormat="1" ht="15.6" x14ac:dyDescent="0.3">
      <c r="A21" s="18" t="s">
        <v>136</v>
      </c>
      <c r="B21" s="11" t="s">
        <v>138</v>
      </c>
      <c r="C21" s="117"/>
      <c r="D21" s="86"/>
      <c r="E21" s="190">
        <f>(E20*1000)/8760</f>
        <v>24.727766021607795</v>
      </c>
      <c r="F21" s="95">
        <f>(F20*1000)/8760</f>
        <v>25.215357039019775</v>
      </c>
      <c r="G21" s="176"/>
    </row>
    <row r="22" spans="1:20" s="82" customFormat="1" ht="15.6" x14ac:dyDescent="0.3">
      <c r="A22" s="58"/>
      <c r="B22" s="52" t="s">
        <v>41</v>
      </c>
      <c r="C22" s="118" t="s">
        <v>124</v>
      </c>
      <c r="D22" s="131" t="s">
        <v>125</v>
      </c>
      <c r="E22" s="122" t="s">
        <v>139</v>
      </c>
      <c r="F22" s="96" t="s">
        <v>139</v>
      </c>
      <c r="G22" s="191"/>
    </row>
    <row r="23" spans="1:20" s="92" customFormat="1" ht="15.6" x14ac:dyDescent="0.3">
      <c r="A23" s="18" t="s">
        <v>126</v>
      </c>
      <c r="B23" s="11" t="s">
        <v>41</v>
      </c>
      <c r="C23" s="94">
        <f>E37+E48+E65</f>
        <v>14425.5</v>
      </c>
      <c r="D23" s="132">
        <f>C23*E23</f>
        <v>5284.0606500000004</v>
      </c>
      <c r="E23" s="144">
        <f>(3663%)/100</f>
        <v>0.36630000000000001</v>
      </c>
      <c r="F23" s="91"/>
      <c r="G23" s="192"/>
    </row>
    <row r="24" spans="1:20" s="92" customFormat="1" ht="15.6" x14ac:dyDescent="0.3">
      <c r="A24" s="18" t="s">
        <v>127</v>
      </c>
      <c r="B24" s="11" t="s">
        <v>41</v>
      </c>
      <c r="C24" s="94">
        <f>E49+E66</f>
        <v>6986.6</v>
      </c>
      <c r="D24" s="132">
        <f t="shared" ref="D24:D32" si="1">C24*E24</f>
        <v>2504.6961000000006</v>
      </c>
      <c r="E24" s="144">
        <f>(3585%)/100</f>
        <v>0.35850000000000004</v>
      </c>
      <c r="F24" s="91"/>
      <c r="G24" s="192"/>
    </row>
    <row r="25" spans="1:20" s="92" customFormat="1" ht="15.6" x14ac:dyDescent="0.3">
      <c r="A25" s="18" t="s">
        <v>128</v>
      </c>
      <c r="B25" s="11" t="s">
        <v>41</v>
      </c>
      <c r="C25" s="94">
        <f>E50+E67</f>
        <v>6373.6</v>
      </c>
      <c r="D25" s="132">
        <f>C25*E25</f>
        <v>2267.7268800000002</v>
      </c>
      <c r="E25" s="144">
        <f>(3558%)/100</f>
        <v>0.35580000000000001</v>
      </c>
      <c r="F25" s="91"/>
      <c r="G25" s="192"/>
    </row>
    <row r="26" spans="1:20" s="92" customFormat="1" ht="15.6" x14ac:dyDescent="0.3">
      <c r="A26" s="18" t="s">
        <v>129</v>
      </c>
      <c r="B26" s="11" t="s">
        <v>41</v>
      </c>
      <c r="C26" s="94">
        <f>E51+E68</f>
        <v>2693.3</v>
      </c>
      <c r="D26" s="132">
        <f t="shared" si="1"/>
        <v>844.88821000000019</v>
      </c>
      <c r="E26" s="144">
        <f>(3137%)/100</f>
        <v>0.31370000000000003</v>
      </c>
      <c r="F26" s="91"/>
      <c r="G26" s="192"/>
    </row>
    <row r="27" spans="1:20" s="92" customFormat="1" ht="15.6" x14ac:dyDescent="0.3">
      <c r="A27" s="18" t="s">
        <v>130</v>
      </c>
      <c r="B27" s="11" t="s">
        <v>41</v>
      </c>
      <c r="C27" s="94">
        <f>E52+E69</f>
        <v>4823.6000000000004</v>
      </c>
      <c r="D27" s="132">
        <f t="shared" si="1"/>
        <v>1661.7302000000002</v>
      </c>
      <c r="E27" s="144">
        <f>(3445%)/100</f>
        <v>0.34450000000000003</v>
      </c>
      <c r="F27" s="91"/>
      <c r="G27" s="192"/>
    </row>
    <row r="28" spans="1:20" s="92" customFormat="1" ht="15.6" x14ac:dyDescent="0.3">
      <c r="A28" s="18" t="s">
        <v>131</v>
      </c>
      <c r="B28" s="11" t="s">
        <v>41</v>
      </c>
      <c r="C28" s="94">
        <f>E53+E70</f>
        <v>3029.9</v>
      </c>
      <c r="D28" s="132">
        <f t="shared" si="1"/>
        <v>956.53942999999992</v>
      </c>
      <c r="E28" s="144">
        <f>(3157%)/100</f>
        <v>0.31569999999999998</v>
      </c>
      <c r="F28" s="91"/>
      <c r="G28" s="192"/>
    </row>
    <row r="29" spans="1:20" s="92" customFormat="1" ht="15.6" x14ac:dyDescent="0.3">
      <c r="A29" s="18" t="s">
        <v>132</v>
      </c>
      <c r="B29" s="11" t="s">
        <v>41</v>
      </c>
      <c r="C29" s="94">
        <f>E43+E54+E71</f>
        <v>1123.2</v>
      </c>
      <c r="D29" s="132">
        <f t="shared" si="1"/>
        <v>331.45632000000006</v>
      </c>
      <c r="E29" s="144">
        <f>(2951%)/100</f>
        <v>0.29510000000000003</v>
      </c>
      <c r="F29" s="91"/>
      <c r="G29" s="192"/>
    </row>
    <row r="30" spans="1:20" s="92" customFormat="1" ht="15.6" x14ac:dyDescent="0.3">
      <c r="A30" s="18" t="s">
        <v>133</v>
      </c>
      <c r="B30" s="11" t="s">
        <v>41</v>
      </c>
      <c r="C30" s="94">
        <f>E42+E55+E72</f>
        <v>5128.8</v>
      </c>
      <c r="D30" s="132">
        <f t="shared" si="1"/>
        <v>1718.6608799999999</v>
      </c>
      <c r="E30" s="144">
        <f>(3351%)/100</f>
        <v>0.33509999999999995</v>
      </c>
      <c r="F30" s="91"/>
      <c r="G30" s="192"/>
    </row>
    <row r="31" spans="1:20" s="92" customFormat="1" ht="15.6" x14ac:dyDescent="0.3">
      <c r="A31" s="18" t="s">
        <v>134</v>
      </c>
      <c r="B31" s="11" t="s">
        <v>41</v>
      </c>
      <c r="C31" s="94">
        <f>E56+E73</f>
        <v>2307.8000000000002</v>
      </c>
      <c r="D31" s="132">
        <f t="shared" si="1"/>
        <v>954.96764000000007</v>
      </c>
      <c r="E31" s="144">
        <f>(4138%)/100</f>
        <v>0.4138</v>
      </c>
      <c r="F31" s="91"/>
      <c r="G31" s="192"/>
    </row>
    <row r="32" spans="1:20" s="92" customFormat="1" ht="15.6" x14ac:dyDescent="0.3">
      <c r="A32" s="18" t="s">
        <v>135</v>
      </c>
      <c r="B32" s="11" t="s">
        <v>41</v>
      </c>
      <c r="C32" s="94">
        <f>E41+E57+E61+E74</f>
        <v>6239</v>
      </c>
      <c r="D32" s="132">
        <f t="shared" si="1"/>
        <v>2849.3512999999998</v>
      </c>
      <c r="E32" s="144">
        <f>(4567%)/100</f>
        <v>0.45669999999999999</v>
      </c>
      <c r="F32" s="91"/>
      <c r="G32" s="192"/>
      <c r="H32" s="97"/>
      <c r="I32" s="97"/>
    </row>
    <row r="33" spans="1:19" s="92" customFormat="1" ht="15.6" x14ac:dyDescent="0.3">
      <c r="A33" s="18"/>
      <c r="B33" s="11"/>
      <c r="C33" s="93"/>
      <c r="D33" s="132"/>
      <c r="E33" s="100"/>
      <c r="F33" s="91"/>
      <c r="G33" s="192"/>
    </row>
    <row r="34" spans="1:19" s="2" customFormat="1" ht="15.6" x14ac:dyDescent="0.3">
      <c r="A34" s="18" t="s">
        <v>113</v>
      </c>
      <c r="B34" s="11" t="s">
        <v>112</v>
      </c>
      <c r="C34" s="193"/>
      <c r="D34" s="170">
        <f>(D15/E15)*[1]Månedsrapport!$P$40</f>
        <v>5634091.9099488761</v>
      </c>
      <c r="E34" s="100"/>
      <c r="F34" s="69"/>
      <c r="G34" s="176"/>
    </row>
    <row r="35" spans="1:19" s="2" customFormat="1" ht="15.6" x14ac:dyDescent="0.3">
      <c r="A35" s="18" t="s">
        <v>114</v>
      </c>
      <c r="B35" s="11" t="s">
        <v>112</v>
      </c>
      <c r="C35" s="193"/>
      <c r="D35" s="170">
        <f>D34/E9</f>
        <v>2867.2223460299624</v>
      </c>
      <c r="E35" s="100"/>
      <c r="F35" s="69"/>
      <c r="G35" s="176"/>
      <c r="R35" s="98">
        <f>D34/E18</f>
        <v>289.78525740004386</v>
      </c>
      <c r="S35" s="2" t="s">
        <v>145</v>
      </c>
    </row>
    <row r="36" spans="1:19" s="47" customFormat="1" ht="15.6" x14ac:dyDescent="0.3">
      <c r="A36" s="17"/>
      <c r="B36" s="11"/>
      <c r="C36" s="173"/>
      <c r="D36" s="171"/>
      <c r="E36" s="101"/>
      <c r="F36" s="65"/>
      <c r="G36" s="188"/>
    </row>
    <row r="37" spans="1:19" s="2" customFormat="1" ht="15.6" x14ac:dyDescent="0.3">
      <c r="A37" s="17" t="s">
        <v>141</v>
      </c>
      <c r="B37" s="11" t="s">
        <v>41</v>
      </c>
      <c r="C37" s="173"/>
      <c r="D37" s="129"/>
      <c r="E37" s="101">
        <v>3481.5</v>
      </c>
      <c r="F37" s="65">
        <v>3555.7</v>
      </c>
      <c r="G37" s="188">
        <v>3827</v>
      </c>
    </row>
    <row r="38" spans="1:19" s="54" customFormat="1" ht="15.6" x14ac:dyDescent="0.3">
      <c r="A38" s="51" t="s">
        <v>67</v>
      </c>
      <c r="B38" s="52" t="s">
        <v>5</v>
      </c>
      <c r="C38" s="174"/>
      <c r="D38" s="133"/>
      <c r="E38" s="123">
        <f>100/E15*E37</f>
        <v>6.5526346993203619</v>
      </c>
      <c r="F38" s="70">
        <f>100/F15*F37</f>
        <v>6.4509129555820079</v>
      </c>
      <c r="G38" s="182">
        <f>100/G15*G37</f>
        <v>9.6504942505547699</v>
      </c>
    </row>
    <row r="39" spans="1:19" s="2" customFormat="1" ht="15.6" x14ac:dyDescent="0.3">
      <c r="A39" s="18"/>
      <c r="B39" s="11"/>
      <c r="C39" s="173"/>
      <c r="D39" s="133" t="s">
        <v>154</v>
      </c>
      <c r="E39" s="100"/>
      <c r="F39" s="69"/>
      <c r="G39" s="176"/>
    </row>
    <row r="40" spans="1:19" s="2" customFormat="1" ht="15.6" x14ac:dyDescent="0.3">
      <c r="A40" s="17" t="s">
        <v>142</v>
      </c>
      <c r="B40" s="11" t="s">
        <v>41</v>
      </c>
      <c r="C40" s="193"/>
      <c r="D40" s="134">
        <f>D89/E40</f>
        <v>690.69353311603663</v>
      </c>
      <c r="E40" s="101">
        <f>E41+E42+E43</f>
        <v>1457.2999999999997</v>
      </c>
      <c r="F40" s="65">
        <f>F41+F42+F43</f>
        <v>3710.33</v>
      </c>
      <c r="G40" s="188"/>
    </row>
    <row r="41" spans="1:19" s="2" customFormat="1" ht="15.6" x14ac:dyDescent="0.3">
      <c r="A41" s="18" t="s">
        <v>69</v>
      </c>
      <c r="B41" s="11" t="s">
        <v>41</v>
      </c>
      <c r="C41" s="173"/>
      <c r="D41" s="129"/>
      <c r="E41" s="100">
        <v>415.4</v>
      </c>
      <c r="F41" s="69">
        <v>1713.6</v>
      </c>
      <c r="G41" s="176"/>
    </row>
    <row r="42" spans="1:19" s="2" customFormat="1" ht="15.6" x14ac:dyDescent="0.3">
      <c r="A42" s="18" t="s">
        <v>70</v>
      </c>
      <c r="B42" s="11" t="s">
        <v>41</v>
      </c>
      <c r="C42" s="173"/>
      <c r="D42" s="129"/>
      <c r="E42" s="100">
        <v>807.3</v>
      </c>
      <c r="F42" s="69">
        <v>1989.6</v>
      </c>
      <c r="G42" s="176"/>
    </row>
    <row r="43" spans="1:19" s="2" customFormat="1" ht="15.6" x14ac:dyDescent="0.3">
      <c r="A43" s="18" t="s">
        <v>71</v>
      </c>
      <c r="B43" s="11" t="s">
        <v>41</v>
      </c>
      <c r="C43" s="173"/>
      <c r="D43" s="129"/>
      <c r="E43" s="100">
        <v>234.6</v>
      </c>
      <c r="F43" s="69">
        <v>7.13</v>
      </c>
      <c r="G43" s="176"/>
    </row>
    <row r="44" spans="1:19" s="54" customFormat="1" ht="15.6" x14ac:dyDescent="0.3">
      <c r="A44" s="51" t="s">
        <v>72</v>
      </c>
      <c r="B44" s="52" t="s">
        <v>5</v>
      </c>
      <c r="C44" s="174"/>
      <c r="D44" s="135"/>
      <c r="E44" s="194">
        <f>E40/E89</f>
        <v>2.22529953779339</v>
      </c>
      <c r="F44" s="81">
        <f>F40/F89</f>
        <v>2.3109632060112086</v>
      </c>
      <c r="G44" s="182"/>
    </row>
    <row r="45" spans="1:19" s="54" customFormat="1" ht="15.6" x14ac:dyDescent="0.3">
      <c r="A45" s="51" t="s">
        <v>91</v>
      </c>
      <c r="B45" s="52" t="s">
        <v>5</v>
      </c>
      <c r="C45" s="174"/>
      <c r="D45" s="133"/>
      <c r="E45" s="123">
        <f>(100/E15)*E40</f>
        <v>2.7428276740828843</v>
      </c>
      <c r="F45" s="70">
        <f>(100/F15)*F40</f>
        <v>6.7314497473028077</v>
      </c>
      <c r="G45" s="182"/>
    </row>
    <row r="46" spans="1:19" s="39" customFormat="1" ht="15.6" x14ac:dyDescent="0.3">
      <c r="A46" s="18"/>
      <c r="B46" s="11"/>
      <c r="C46" s="173"/>
      <c r="D46" s="129"/>
      <c r="E46" s="100"/>
      <c r="F46" s="69"/>
      <c r="G46" s="176"/>
    </row>
    <row r="47" spans="1:19" s="39" customFormat="1" ht="15.6" x14ac:dyDescent="0.3">
      <c r="A47" s="17" t="s">
        <v>92</v>
      </c>
      <c r="B47" s="11" t="s">
        <v>41</v>
      </c>
      <c r="C47" s="174" t="s">
        <v>106</v>
      </c>
      <c r="D47" s="136" t="s">
        <v>115</v>
      </c>
      <c r="E47" s="101">
        <f>SUM(E48:E57)</f>
        <v>47067.770000000004</v>
      </c>
      <c r="F47" s="65">
        <f>SUM(F48:F57)</f>
        <v>46045.52</v>
      </c>
      <c r="G47" s="188">
        <f>SUM(G48:G57)</f>
        <v>34093</v>
      </c>
    </row>
    <row r="48" spans="1:19" s="39" customFormat="1" ht="15.6" x14ac:dyDescent="0.3">
      <c r="A48" s="18" t="s">
        <v>44</v>
      </c>
      <c r="B48" s="11" t="s">
        <v>41</v>
      </c>
      <c r="C48" s="195"/>
      <c r="D48" s="137">
        <f>E48/'[2]Samlet køb'!$L$9</f>
        <v>1.0369608235084808</v>
      </c>
      <c r="E48" s="100">
        <f>14421-E37</f>
        <v>10939.5</v>
      </c>
      <c r="F48" s="69">
        <f>14852-F37</f>
        <v>11296.3</v>
      </c>
      <c r="G48" s="176">
        <f>8385+2032</f>
        <v>10417</v>
      </c>
      <c r="H48" s="48"/>
    </row>
    <row r="49" spans="1:14" s="39" customFormat="1" ht="15.6" x14ac:dyDescent="0.3">
      <c r="A49" s="18" t="s">
        <v>46</v>
      </c>
      <c r="B49" s="11" t="s">
        <v>41</v>
      </c>
      <c r="C49" s="195"/>
      <c r="D49" s="137">
        <f>E49/'[2]Samlet køb'!$L$15</f>
        <v>0.90852308645498725</v>
      </c>
      <c r="E49" s="100">
        <f>6986.6-E66</f>
        <v>6902.7000000000007</v>
      </c>
      <c r="F49" s="69">
        <f>7874.3-F66</f>
        <v>7798.18</v>
      </c>
      <c r="G49" s="176">
        <f>3223+405</f>
        <v>3628</v>
      </c>
      <c r="H49" s="48"/>
    </row>
    <row r="50" spans="1:14" s="39" customFormat="1" ht="15.6" x14ac:dyDescent="0.3">
      <c r="A50" s="18" t="s">
        <v>47</v>
      </c>
      <c r="B50" s="11" t="s">
        <v>41</v>
      </c>
      <c r="C50" s="195"/>
      <c r="D50" s="137">
        <f>E50/'[2]Samlet køb'!$L$16</f>
        <v>0.91412851960266772</v>
      </c>
      <c r="E50" s="100">
        <f>6373.6-E67</f>
        <v>6328.72</v>
      </c>
      <c r="F50" s="69">
        <f>7128.68-F67</f>
        <v>7061.89</v>
      </c>
      <c r="G50" s="176">
        <f>2754+631</f>
        <v>3385</v>
      </c>
      <c r="H50" s="48"/>
    </row>
    <row r="51" spans="1:14" s="39" customFormat="1" ht="15.6" x14ac:dyDescent="0.3">
      <c r="A51" s="18" t="s">
        <v>48</v>
      </c>
      <c r="B51" s="11" t="s">
        <v>41</v>
      </c>
      <c r="C51" s="195"/>
      <c r="D51" s="137">
        <f>E51/'[2]Samlet køb'!$L$14</f>
        <v>0.73695580401399097</v>
      </c>
      <c r="E51" s="100">
        <f>2693.3-E68</f>
        <v>2683.9500000000003</v>
      </c>
      <c r="F51" s="69">
        <f>2798.81-F68</f>
        <v>2756.7999999999997</v>
      </c>
      <c r="G51" s="176">
        <v>1512</v>
      </c>
      <c r="H51" s="48"/>
    </row>
    <row r="52" spans="1:14" s="39" customFormat="1" ht="15.6" x14ac:dyDescent="0.3">
      <c r="A52" s="18" t="s">
        <v>49</v>
      </c>
      <c r="B52" s="11" t="s">
        <v>41</v>
      </c>
      <c r="C52" s="195"/>
      <c r="D52" s="137">
        <f>E52/'[2]Samlet køb'!$L$18</f>
        <v>0.85734201452475578</v>
      </c>
      <c r="E52" s="100">
        <f>4823.6-E69</f>
        <v>4795.08</v>
      </c>
      <c r="F52" s="69">
        <f>4790.34-F69</f>
        <v>4739.34</v>
      </c>
      <c r="G52" s="176">
        <f>2321+456</f>
        <v>2777</v>
      </c>
      <c r="H52" s="48"/>
    </row>
    <row r="53" spans="1:14" s="39" customFormat="1" ht="15.6" x14ac:dyDescent="0.3">
      <c r="A53" s="18" t="s">
        <v>50</v>
      </c>
      <c r="B53" s="11" t="s">
        <v>41</v>
      </c>
      <c r="C53" s="195"/>
      <c r="D53" s="137">
        <f>E53/'[2]Samlet køb'!$L$17</f>
        <v>0.80712894441321859</v>
      </c>
      <c r="E53" s="100">
        <f>3029.9-E70</f>
        <v>2966.79</v>
      </c>
      <c r="F53" s="69">
        <f>3550.23-F70</f>
        <v>3515.65</v>
      </c>
      <c r="G53" s="176">
        <f>1518+260</f>
        <v>1778</v>
      </c>
      <c r="H53" s="48"/>
    </row>
    <row r="54" spans="1:14" s="39" customFormat="1" ht="15.6" x14ac:dyDescent="0.3">
      <c r="A54" s="18" t="s">
        <v>54</v>
      </c>
      <c r="B54" s="11" t="s">
        <v>41</v>
      </c>
      <c r="C54" s="195"/>
      <c r="D54" s="137">
        <f>E54/'[2]Samlet køb'!$L$13</f>
        <v>0.9725862552132275</v>
      </c>
      <c r="E54" s="100">
        <f>1123.2-E71-E43</f>
        <v>885.00000000000011</v>
      </c>
      <c r="F54" s="69">
        <f>1178.01-F71-F43</f>
        <v>1165.78</v>
      </c>
      <c r="G54" s="176">
        <v>705</v>
      </c>
      <c r="H54" s="48"/>
    </row>
    <row r="55" spans="1:14" s="39" customFormat="1" ht="15.6" x14ac:dyDescent="0.3">
      <c r="A55" s="18" t="s">
        <v>51</v>
      </c>
      <c r="B55" s="11" t="s">
        <v>41</v>
      </c>
      <c r="C55" s="174"/>
      <c r="D55" s="137">
        <f>E55/'[2]Samlet køb'!$L$12</f>
        <v>0.75706548618561198</v>
      </c>
      <c r="E55" s="100">
        <f>5128.8-E72-E42</f>
        <v>4294.45</v>
      </c>
      <c r="F55" s="69">
        <f>5337.57-F72-F42</f>
        <v>2932.61</v>
      </c>
      <c r="G55" s="176">
        <f>4715</f>
        <v>4715</v>
      </c>
      <c r="H55" s="48"/>
    </row>
    <row r="56" spans="1:14" s="39" customFormat="1" ht="15.6" x14ac:dyDescent="0.3">
      <c r="A56" s="18" t="s">
        <v>55</v>
      </c>
      <c r="B56" s="11" t="s">
        <v>41</v>
      </c>
      <c r="C56" s="174" t="s">
        <v>150</v>
      </c>
      <c r="D56" s="137">
        <f>E56/'[2]Samlet køb'!$L$11</f>
        <v>1.9484971293481936</v>
      </c>
      <c r="E56" s="100">
        <f>2307.8-E73</f>
        <v>2307.8000000000002</v>
      </c>
      <c r="F56" s="69">
        <f>1799.82-F73</f>
        <v>1785.6899999999998</v>
      </c>
      <c r="G56" s="176">
        <v>1497</v>
      </c>
      <c r="H56" s="48"/>
    </row>
    <row r="57" spans="1:14" s="39" customFormat="1" ht="15.6" x14ac:dyDescent="0.3">
      <c r="A57" s="18" t="s">
        <v>53</v>
      </c>
      <c r="B57" s="11" t="s">
        <v>41</v>
      </c>
      <c r="C57" s="174"/>
      <c r="D57" s="137">
        <f>E57/'[2]Samlet køb'!$L$10</f>
        <v>0.8450115416209949</v>
      </c>
      <c r="E57" s="100">
        <f>6239-E74-E61-E41</f>
        <v>4963.78</v>
      </c>
      <c r="F57" s="69">
        <f>5809.57-F74-F61-F41</f>
        <v>2993.28</v>
      </c>
      <c r="G57" s="176">
        <v>3679</v>
      </c>
      <c r="H57" s="48"/>
    </row>
    <row r="58" spans="1:14" s="54" customFormat="1" ht="15.6" x14ac:dyDescent="0.3">
      <c r="A58" s="51" t="s">
        <v>95</v>
      </c>
      <c r="B58" s="52" t="s">
        <v>5</v>
      </c>
      <c r="C58" s="174" t="s">
        <v>107</v>
      </c>
      <c r="D58" s="137">
        <f>E58</f>
        <v>94.75472905055247</v>
      </c>
      <c r="E58" s="123">
        <f>100/(E84+E85+E86)*E47</f>
        <v>94.75472905055247</v>
      </c>
      <c r="F58" s="70">
        <f>100/(F84)*F47</f>
        <v>92.848477750563589</v>
      </c>
      <c r="G58" s="182">
        <f>100/(G84)*G47</f>
        <v>89.361728709623861</v>
      </c>
      <c r="H58" s="53"/>
    </row>
    <row r="59" spans="1:14" s="54" customFormat="1" ht="15.6" x14ac:dyDescent="0.3">
      <c r="A59" s="51" t="s">
        <v>96</v>
      </c>
      <c r="B59" s="52" t="s">
        <v>5</v>
      </c>
      <c r="C59" s="174"/>
      <c r="D59" s="137"/>
      <c r="E59" s="123">
        <f>(100/E15)*E47</f>
        <v>88.58764984105413</v>
      </c>
      <c r="F59" s="70">
        <f>(100/F15)*F47</f>
        <v>83.537880449562806</v>
      </c>
      <c r="G59" s="182">
        <f>(100/G15)*G47</f>
        <v>85.9718579786161</v>
      </c>
      <c r="H59" s="53"/>
    </row>
    <row r="60" spans="1:14" s="47" customFormat="1" ht="15.6" x14ac:dyDescent="0.3">
      <c r="A60" s="17"/>
      <c r="B60" s="11"/>
      <c r="C60" s="173"/>
      <c r="D60" s="129"/>
      <c r="E60" s="101"/>
      <c r="F60" s="65"/>
      <c r="G60" s="188"/>
    </row>
    <row r="61" spans="1:14" s="47" customFormat="1" ht="15.6" x14ac:dyDescent="0.3">
      <c r="A61" s="17" t="s">
        <v>143</v>
      </c>
      <c r="B61" s="11" t="s">
        <v>41</v>
      </c>
      <c r="C61" s="173"/>
      <c r="D61" s="129"/>
      <c r="E61" s="101">
        <v>824.22</v>
      </c>
      <c r="F61" s="65">
        <v>1067.3599999999999</v>
      </c>
      <c r="G61" s="188">
        <v>1447</v>
      </c>
    </row>
    <row r="62" spans="1:14" s="56" customFormat="1" ht="15.6" x14ac:dyDescent="0.3">
      <c r="A62" s="51" t="s">
        <v>93</v>
      </c>
      <c r="B62" s="52" t="s">
        <v>5</v>
      </c>
      <c r="C62" s="174"/>
      <c r="D62" s="133"/>
      <c r="E62" s="123">
        <f>(100/E15)*E61</f>
        <v>1.5512889765543096</v>
      </c>
      <c r="F62" s="70">
        <f>(100/F15)*F61</f>
        <v>1.9364531462918726</v>
      </c>
      <c r="G62" s="182">
        <f>(100/G15)*G61</f>
        <v>3.6488803711922531</v>
      </c>
      <c r="N62" s="57"/>
    </row>
    <row r="63" spans="1:14" s="47" customFormat="1" ht="15.6" x14ac:dyDescent="0.3">
      <c r="A63" s="18"/>
      <c r="B63" s="11"/>
      <c r="C63" s="173"/>
      <c r="D63" s="129"/>
      <c r="E63" s="100"/>
      <c r="F63" s="69"/>
      <c r="G63" s="188"/>
    </row>
    <row r="64" spans="1:14" s="47" customFormat="1" ht="15.6" x14ac:dyDescent="0.3">
      <c r="A64" s="17" t="s">
        <v>144</v>
      </c>
      <c r="B64" s="11"/>
      <c r="C64" s="174"/>
      <c r="D64" s="133" t="s">
        <v>155</v>
      </c>
      <c r="E64" s="101">
        <f>SUM(E65:E74)</f>
        <v>300.51</v>
      </c>
      <c r="F64" s="65">
        <f>SUM(F65:F74)</f>
        <v>740.42000000000007</v>
      </c>
      <c r="G64" s="188">
        <f>SUM(G65:G74)</f>
        <v>289</v>
      </c>
    </row>
    <row r="65" spans="1:8" s="39" customFormat="1" ht="15.6" x14ac:dyDescent="0.3">
      <c r="A65" s="18" t="s">
        <v>66</v>
      </c>
      <c r="B65" s="11" t="s">
        <v>41</v>
      </c>
      <c r="C65" s="174"/>
      <c r="D65" s="138">
        <f t="shared" ref="D65:D74" si="2">100/(E48+E65)*E65/100</f>
        <v>4.1118421052631577E-4</v>
      </c>
      <c r="E65" s="100">
        <v>4.5</v>
      </c>
      <c r="F65" s="69">
        <v>0</v>
      </c>
      <c r="G65" s="176">
        <v>0</v>
      </c>
    </row>
    <row r="66" spans="1:8" s="39" customFormat="1" ht="15.6" x14ac:dyDescent="0.3">
      <c r="A66" s="18" t="s">
        <v>65</v>
      </c>
      <c r="B66" s="11" t="s">
        <v>41</v>
      </c>
      <c r="C66" s="174"/>
      <c r="D66" s="138">
        <f t="shared" si="2"/>
        <v>1.2008702373114249E-2</v>
      </c>
      <c r="E66" s="100">
        <v>83.9</v>
      </c>
      <c r="F66" s="69">
        <v>76.12</v>
      </c>
      <c r="G66" s="176">
        <v>30</v>
      </c>
    </row>
    <row r="67" spans="1:8" s="39" customFormat="1" ht="15.6" x14ac:dyDescent="0.3">
      <c r="A67" s="18" t="s">
        <v>64</v>
      </c>
      <c r="B67" s="11" t="s">
        <v>41</v>
      </c>
      <c r="C67" s="174"/>
      <c r="D67" s="139">
        <f t="shared" si="2"/>
        <v>7.0415463788126012E-3</v>
      </c>
      <c r="E67" s="100">
        <v>44.88</v>
      </c>
      <c r="F67" s="69">
        <v>66.790000000000006</v>
      </c>
      <c r="G67" s="176">
        <v>13</v>
      </c>
    </row>
    <row r="68" spans="1:8" s="39" customFormat="1" ht="15.6" x14ac:dyDescent="0.3">
      <c r="A68" s="18" t="s">
        <v>63</v>
      </c>
      <c r="B68" s="11" t="s">
        <v>41</v>
      </c>
      <c r="C68" s="174"/>
      <c r="D68" s="139">
        <f t="shared" si="2"/>
        <v>3.4715776185348822E-3</v>
      </c>
      <c r="E68" s="100">
        <v>9.35</v>
      </c>
      <c r="F68" s="69">
        <v>42.01</v>
      </c>
      <c r="G68" s="176">
        <v>6</v>
      </c>
      <c r="H68" s="48"/>
    </row>
    <row r="69" spans="1:8" s="39" customFormat="1" ht="15.6" x14ac:dyDescent="0.3">
      <c r="A69" s="18" t="s">
        <v>62</v>
      </c>
      <c r="B69" s="11" t="s">
        <v>41</v>
      </c>
      <c r="C69" s="174"/>
      <c r="D69" s="139">
        <f t="shared" si="2"/>
        <v>5.9125964010282774E-3</v>
      </c>
      <c r="E69" s="100">
        <v>28.52</v>
      </c>
      <c r="F69" s="69">
        <v>51</v>
      </c>
      <c r="G69" s="176">
        <v>12</v>
      </c>
    </row>
    <row r="70" spans="1:8" s="39" customFormat="1" ht="15.6" x14ac:dyDescent="0.3">
      <c r="A70" s="18" t="s">
        <v>61</v>
      </c>
      <c r="B70" s="11" t="s">
        <v>41</v>
      </c>
      <c r="C70" s="174"/>
      <c r="D70" s="139">
        <f t="shared" si="2"/>
        <v>2.0829070266345423E-2</v>
      </c>
      <c r="E70" s="100">
        <v>63.11</v>
      </c>
      <c r="F70" s="69">
        <v>34.58</v>
      </c>
      <c r="G70" s="176">
        <v>12</v>
      </c>
    </row>
    <row r="71" spans="1:8" s="39" customFormat="1" ht="15.6" x14ac:dyDescent="0.3">
      <c r="A71" s="18" t="s">
        <v>60</v>
      </c>
      <c r="B71" s="11" t="s">
        <v>41</v>
      </c>
      <c r="C71" s="174"/>
      <c r="D71" s="139">
        <f t="shared" si="2"/>
        <v>4.0513166779203233E-3</v>
      </c>
      <c r="E71" s="100">
        <v>3.6</v>
      </c>
      <c r="F71" s="69">
        <v>5.0999999999999996</v>
      </c>
      <c r="G71" s="176">
        <v>5</v>
      </c>
    </row>
    <row r="72" spans="1:8" s="39" customFormat="1" ht="15.6" x14ac:dyDescent="0.3">
      <c r="A72" s="18" t="s">
        <v>59</v>
      </c>
      <c r="B72" s="11" t="s">
        <v>41</v>
      </c>
      <c r="C72" s="174"/>
      <c r="D72" s="139">
        <f t="shared" si="2"/>
        <v>6.2594006710632874E-3</v>
      </c>
      <c r="E72" s="100">
        <v>27.05</v>
      </c>
      <c r="F72" s="69">
        <v>415.36</v>
      </c>
      <c r="G72" s="176">
        <v>105</v>
      </c>
    </row>
    <row r="73" spans="1:8" s="39" customFormat="1" ht="15.6" x14ac:dyDescent="0.3">
      <c r="A73" s="18" t="s">
        <v>58</v>
      </c>
      <c r="B73" s="11" t="s">
        <v>41</v>
      </c>
      <c r="C73" s="174"/>
      <c r="D73" s="139">
        <f t="shared" si="2"/>
        <v>0</v>
      </c>
      <c r="E73" s="100">
        <v>0</v>
      </c>
      <c r="F73" s="69">
        <v>14.13</v>
      </c>
      <c r="G73" s="176">
        <v>20</v>
      </c>
    </row>
    <row r="74" spans="1:8" s="39" customFormat="1" ht="15.6" x14ac:dyDescent="0.3">
      <c r="A74" s="18" t="s">
        <v>57</v>
      </c>
      <c r="B74" s="11" t="s">
        <v>41</v>
      </c>
      <c r="C74" s="174"/>
      <c r="D74" s="139">
        <f t="shared" si="2"/>
        <v>7.120882989490698E-3</v>
      </c>
      <c r="E74" s="100">
        <v>35.6</v>
      </c>
      <c r="F74" s="69">
        <v>35.33</v>
      </c>
      <c r="G74" s="176">
        <v>86</v>
      </c>
    </row>
    <row r="75" spans="1:8" s="54" customFormat="1" ht="15.6" x14ac:dyDescent="0.3">
      <c r="A75" s="51" t="s">
        <v>94</v>
      </c>
      <c r="B75" s="52" t="s">
        <v>5</v>
      </c>
      <c r="C75" s="174"/>
      <c r="D75" s="133"/>
      <c r="E75" s="123">
        <f>(100/(9.68*E87))*(E65+E66+E67+E68+E69+E70+E71+E72+E73+E74)*1000</f>
        <v>62.135568923036729</v>
      </c>
      <c r="F75" s="70">
        <f>(100/(9.68*F87))*(F65+F66+F67+F68+F69+F70+F71+F72+F73+F74)*1000</f>
        <v>87.766829320934491</v>
      </c>
      <c r="G75" s="182">
        <f>(100/(9.68*G87))*(G65+G66+G67+G68+G69+G70+G71+G72+G73+G74)*1000</f>
        <v>88.047033195003294</v>
      </c>
    </row>
    <row r="76" spans="1:8" s="54" customFormat="1" ht="15.6" x14ac:dyDescent="0.3">
      <c r="A76" s="51" t="s">
        <v>97</v>
      </c>
      <c r="B76" s="52" t="s">
        <v>5</v>
      </c>
      <c r="C76" s="174"/>
      <c r="D76" s="133"/>
      <c r="E76" s="169">
        <f>(100/E15)*E64</f>
        <v>0.56559880898829873</v>
      </c>
      <c r="F76" s="70">
        <f>(100/F15)*F64</f>
        <v>1.34330370126052</v>
      </c>
      <c r="G76" s="182">
        <f>(100/G15)*G64</f>
        <v>0.72876739963687709</v>
      </c>
    </row>
    <row r="77" spans="1:8" s="47" customFormat="1" ht="16.2" thickBot="1" x14ac:dyDescent="0.35">
      <c r="A77" s="17"/>
      <c r="B77" s="11"/>
      <c r="C77" s="119"/>
      <c r="D77" s="140"/>
      <c r="E77" s="124"/>
      <c r="F77" s="78"/>
      <c r="G77" s="196"/>
    </row>
    <row r="78" spans="1:8" s="39" customFormat="1" ht="16.2" thickBot="1" x14ac:dyDescent="0.35">
      <c r="A78" s="145" t="s">
        <v>8</v>
      </c>
      <c r="B78" s="146"/>
      <c r="C78" s="147" t="s">
        <v>52</v>
      </c>
      <c r="D78" s="125" t="s">
        <v>117</v>
      </c>
      <c r="E78" s="148"/>
      <c r="F78" s="149"/>
      <c r="G78" s="150"/>
    </row>
    <row r="79" spans="1:8" s="39" customFormat="1" ht="15.6" x14ac:dyDescent="0.3">
      <c r="A79" s="17" t="s">
        <v>10</v>
      </c>
      <c r="B79" s="11"/>
      <c r="C79" s="173"/>
      <c r="D79" s="129"/>
      <c r="E79" s="112"/>
      <c r="F79" s="105"/>
      <c r="G79" s="105"/>
    </row>
    <row r="80" spans="1:8" s="39" customFormat="1" ht="15.6" x14ac:dyDescent="0.3">
      <c r="A80" s="18" t="s">
        <v>116</v>
      </c>
      <c r="B80" s="11" t="s">
        <v>41</v>
      </c>
      <c r="C80" s="173"/>
      <c r="D80" s="141">
        <f>1448.47*E80</f>
        <v>1559512.60714</v>
      </c>
      <c r="E80" s="110">
        <f>[1]Månedsrapport!$P$13/1000</f>
        <v>1076.662</v>
      </c>
      <c r="F80" s="103">
        <f>[3]Månedsrapport!$P$11/1000</f>
        <v>1076.5595000000001</v>
      </c>
      <c r="G80" s="103">
        <f>[4]Månedsrapport!$P$11/1000</f>
        <v>1322.6841999999999</v>
      </c>
    </row>
    <row r="81" spans="1:14" s="39" customFormat="1" ht="15.6" x14ac:dyDescent="0.3">
      <c r="A81" s="17" t="s">
        <v>25</v>
      </c>
      <c r="B81" s="11" t="s">
        <v>42</v>
      </c>
      <c r="C81" s="173"/>
      <c r="D81" s="129"/>
      <c r="E81" s="111">
        <f>E80/(E15-E40)*1000</f>
        <v>20.83566203506599</v>
      </c>
      <c r="F81" s="104">
        <f>F80/(F15-F40)*1000</f>
        <v>20.941070629656291</v>
      </c>
      <c r="G81" s="104">
        <f>G80/G15*1000</f>
        <v>33.353948961065157</v>
      </c>
    </row>
    <row r="82" spans="1:14" s="35" customFormat="1" ht="15.6" x14ac:dyDescent="0.3">
      <c r="A82" s="37"/>
      <c r="B82" s="36"/>
      <c r="C82" s="183"/>
      <c r="D82" s="142"/>
      <c r="E82" s="112"/>
      <c r="F82" s="105"/>
      <c r="G82" s="105"/>
    </row>
    <row r="83" spans="1:14" s="39" customFormat="1" ht="15.6" x14ac:dyDescent="0.3">
      <c r="A83" s="17" t="s">
        <v>105</v>
      </c>
      <c r="B83" s="11"/>
      <c r="C83" s="174"/>
      <c r="D83" s="133" t="s">
        <v>122</v>
      </c>
      <c r="E83" s="112"/>
      <c r="F83" s="105"/>
      <c r="G83" s="105"/>
    </row>
    <row r="84" spans="1:14" s="39" customFormat="1" ht="15.6" x14ac:dyDescent="0.3">
      <c r="A84" s="18" t="s">
        <v>152</v>
      </c>
      <c r="B84" s="11" t="s">
        <v>41</v>
      </c>
      <c r="C84" s="174"/>
      <c r="D84" s="143">
        <f>E84*214.66</f>
        <v>8170553.1873724433</v>
      </c>
      <c r="E84" s="110">
        <f>[1]Månedsrapport!$P$7</f>
        <v>38062.765244444439</v>
      </c>
      <c r="F84" s="103">
        <f>[3]Månedsrapport!$P$7</f>
        <v>49592.110840740737</v>
      </c>
      <c r="G84" s="103">
        <f>[4]Månedsrapport!$P$9+[4]Månedsrapport!$P$10</f>
        <v>38151.679127407406</v>
      </c>
      <c r="N84" s="48"/>
    </row>
    <row r="85" spans="1:14" s="39" customFormat="1" ht="15.6" x14ac:dyDescent="0.3">
      <c r="A85" s="18" t="s">
        <v>151</v>
      </c>
      <c r="B85" s="11" t="s">
        <v>41</v>
      </c>
      <c r="C85" s="174"/>
      <c r="D85" s="143">
        <f>E85*246.27</f>
        <v>2343544.0394815113</v>
      </c>
      <c r="E85" s="110">
        <f>[1]Månedsrapport!$P$8</f>
        <v>9516.1572237037035</v>
      </c>
      <c r="F85" s="115" t="s">
        <v>153</v>
      </c>
      <c r="G85" s="115" t="s">
        <v>153</v>
      </c>
      <c r="N85" s="48"/>
    </row>
    <row r="86" spans="1:14" s="39" customFormat="1" ht="15.6" x14ac:dyDescent="0.3">
      <c r="A86" s="18" t="s">
        <v>109</v>
      </c>
      <c r="B86" s="11" t="s">
        <v>41</v>
      </c>
      <c r="C86" s="174"/>
      <c r="D86" s="143">
        <f>E86*419</f>
        <v>877530.55499999993</v>
      </c>
      <c r="E86" s="110">
        <f>[1]Månedsrapport!$P$9</f>
        <v>2094.3449999999998</v>
      </c>
      <c r="F86" s="103">
        <f>[3]Månedsrapport!$P$8</f>
        <v>2871.09</v>
      </c>
      <c r="G86" s="115" t="s">
        <v>153</v>
      </c>
    </row>
    <row r="87" spans="1:14" s="39" customFormat="1" ht="15.6" x14ac:dyDescent="0.3">
      <c r="A87" s="18" t="s">
        <v>110</v>
      </c>
      <c r="B87" s="11" t="s">
        <v>11</v>
      </c>
      <c r="C87" s="174"/>
      <c r="D87" s="143">
        <f>[1]Månedsrapport!$E$58</f>
        <v>374718</v>
      </c>
      <c r="E87" s="113">
        <f>[1]Månedsrapport!$D$58</f>
        <v>49962.400000000001</v>
      </c>
      <c r="F87" s="106">
        <f>[3]Månedsrapport!$D$54</f>
        <v>87151</v>
      </c>
      <c r="G87" s="106">
        <f>[4]Månedsrapport!$D$51</f>
        <v>33908.436000000002</v>
      </c>
    </row>
    <row r="88" spans="1:14" s="39" customFormat="1" ht="15.6" x14ac:dyDescent="0.3">
      <c r="A88" s="18" t="s">
        <v>111</v>
      </c>
      <c r="B88" s="11" t="s">
        <v>108</v>
      </c>
      <c r="C88" s="174"/>
      <c r="D88" s="143">
        <f>[3]Månedsrapport!$Q$47</f>
        <v>35639.894497367226</v>
      </c>
      <c r="E88" s="113">
        <f>[1]Månedsrapport!$P$10</f>
        <v>206936.24499999997</v>
      </c>
      <c r="F88" s="106">
        <f>[3]Månedsrapport!$P$9</f>
        <v>265459.41499999992</v>
      </c>
      <c r="G88" s="106"/>
    </row>
    <row r="89" spans="1:14" s="39" customFormat="1" ht="15.6" x14ac:dyDescent="0.3">
      <c r="A89" s="18" t="s">
        <v>121</v>
      </c>
      <c r="B89" s="11" t="s">
        <v>41</v>
      </c>
      <c r="C89" s="174"/>
      <c r="D89" s="143">
        <f>E89*1537</f>
        <v>1006547.6858100001</v>
      </c>
      <c r="E89" s="110">
        <f>[1]Månedsrapport!$P$11+[1]Månedsrapport!$P$12</f>
        <v>654.87813000000006</v>
      </c>
      <c r="F89" s="103">
        <f>[3]Månedsrapport!$P$10</f>
        <v>1605.5340000000001</v>
      </c>
      <c r="G89" s="103"/>
    </row>
    <row r="90" spans="1:14" s="39" customFormat="1" ht="15.6" x14ac:dyDescent="0.3">
      <c r="A90" s="18" t="s">
        <v>120</v>
      </c>
      <c r="B90" s="11" t="s">
        <v>41</v>
      </c>
      <c r="C90" s="174"/>
      <c r="D90" s="143">
        <f>E90*1537</f>
        <v>25397.388000000003</v>
      </c>
      <c r="E90" s="110">
        <f>[1]Forbrug!$P$211/1000</f>
        <v>16.524000000000001</v>
      </c>
      <c r="F90" s="103"/>
      <c r="G90" s="103"/>
    </row>
    <row r="91" spans="1:14" s="39" customFormat="1" ht="15.6" x14ac:dyDescent="0.3">
      <c r="A91" s="18" t="s">
        <v>118</v>
      </c>
      <c r="B91" s="11" t="s">
        <v>11</v>
      </c>
      <c r="C91" s="174"/>
      <c r="D91" s="143">
        <f>E91*11.5</f>
        <v>287.5</v>
      </c>
      <c r="E91" s="113">
        <v>25</v>
      </c>
      <c r="F91" s="106">
        <v>25</v>
      </c>
      <c r="G91" s="106">
        <v>35</v>
      </c>
    </row>
    <row r="92" spans="1:14" s="39" customFormat="1" ht="15.6" x14ac:dyDescent="0.3">
      <c r="A92" s="18" t="s">
        <v>119</v>
      </c>
      <c r="B92" s="11" t="s">
        <v>11</v>
      </c>
      <c r="C92" s="174"/>
      <c r="D92" s="143">
        <f>E92*11.5</f>
        <v>60973</v>
      </c>
      <c r="E92" s="113">
        <v>5302</v>
      </c>
      <c r="F92" s="106">
        <v>4031</v>
      </c>
      <c r="G92" s="106">
        <v>3300</v>
      </c>
    </row>
    <row r="93" spans="1:14" s="39" customFormat="1" ht="15.6" x14ac:dyDescent="0.3">
      <c r="A93" s="18"/>
      <c r="B93" s="11"/>
      <c r="C93" s="173"/>
      <c r="D93" s="129"/>
      <c r="E93" s="44"/>
      <c r="F93" s="107"/>
      <c r="G93" s="107"/>
    </row>
    <row r="94" spans="1:14" s="39" customFormat="1" ht="15.6" x14ac:dyDescent="0.3">
      <c r="A94" s="17" t="s">
        <v>98</v>
      </c>
      <c r="B94" s="11"/>
      <c r="C94" s="173"/>
      <c r="D94" s="129"/>
      <c r="E94" s="113"/>
      <c r="F94" s="106"/>
      <c r="G94" s="106"/>
    </row>
    <row r="95" spans="1:14" s="39" customFormat="1" ht="15.6" x14ac:dyDescent="0.3">
      <c r="A95" s="18" t="s">
        <v>12</v>
      </c>
      <c r="B95" s="11" t="s">
        <v>13</v>
      </c>
      <c r="C95" s="173"/>
      <c r="D95" s="141">
        <f>4*E95</f>
        <v>29603.632000000005</v>
      </c>
      <c r="E95" s="113">
        <f>[1]Månedsrapport!$P$22</f>
        <v>7400.9080000000013</v>
      </c>
      <c r="F95" s="106">
        <f>[3]Månedsrapport!$P$19</f>
        <v>6648.963999999999</v>
      </c>
      <c r="G95" s="106">
        <f>[4]Månedsrapport!$P$19</f>
        <v>4934.8100000000031</v>
      </c>
    </row>
    <row r="96" spans="1:14" s="39" customFormat="1" ht="15.6" x14ac:dyDescent="0.3">
      <c r="A96" s="18" t="s">
        <v>99</v>
      </c>
      <c r="B96" s="11" t="s">
        <v>13</v>
      </c>
      <c r="C96" s="173"/>
      <c r="D96" s="128">
        <f>18.82*E96</f>
        <v>42546.788040000007</v>
      </c>
      <c r="E96" s="113">
        <f>[1]Månedsrapport!$P$23</f>
        <v>2260.7220000000002</v>
      </c>
      <c r="F96" s="106">
        <f>[3]Månedsrapport!$P$20</f>
        <v>2364.6494000000002</v>
      </c>
      <c r="G96" s="106">
        <f>[4]Månedsrapport!$P$18</f>
        <v>2223.6160000000004</v>
      </c>
    </row>
    <row r="97" spans="1:13" s="39" customFormat="1" ht="15.6" x14ac:dyDescent="0.3">
      <c r="A97" s="18"/>
      <c r="B97" s="11"/>
      <c r="C97" s="173"/>
      <c r="D97" s="129"/>
      <c r="E97" s="113"/>
      <c r="F97" s="106"/>
      <c r="G97" s="106"/>
    </row>
    <row r="98" spans="1:13" s="39" customFormat="1" ht="15.6" x14ac:dyDescent="0.3">
      <c r="A98" s="17" t="s">
        <v>14</v>
      </c>
      <c r="B98" s="11"/>
      <c r="C98" s="173"/>
      <c r="D98" s="129"/>
      <c r="E98" s="44"/>
      <c r="F98" s="107"/>
      <c r="G98" s="107"/>
    </row>
    <row r="99" spans="1:13" s="39" customFormat="1" ht="15.6" x14ac:dyDescent="0.3">
      <c r="A99" s="18" t="s">
        <v>29</v>
      </c>
      <c r="B99" s="11" t="s">
        <v>6</v>
      </c>
      <c r="C99" s="173"/>
      <c r="D99" s="154">
        <f>124753</f>
        <v>124753</v>
      </c>
      <c r="E99" s="113">
        <v>10</v>
      </c>
      <c r="F99" s="106">
        <v>10</v>
      </c>
      <c r="G99" s="106">
        <v>5</v>
      </c>
    </row>
    <row r="100" spans="1:13" s="39" customFormat="1" ht="15.6" x14ac:dyDescent="0.3">
      <c r="A100" s="18" t="s">
        <v>56</v>
      </c>
      <c r="B100" s="11" t="s">
        <v>11</v>
      </c>
      <c r="C100" s="173"/>
      <c r="D100" s="155"/>
      <c r="E100" s="113">
        <v>1020</v>
      </c>
      <c r="F100" s="106">
        <v>720</v>
      </c>
      <c r="G100" s="106">
        <v>675</v>
      </c>
    </row>
    <row r="101" spans="1:13" s="39" customFormat="1" ht="15.6" x14ac:dyDescent="0.3">
      <c r="A101" s="18" t="s">
        <v>15</v>
      </c>
      <c r="B101" s="11" t="s">
        <v>11</v>
      </c>
      <c r="C101" s="173"/>
      <c r="D101" s="155"/>
      <c r="E101" s="113">
        <v>3050</v>
      </c>
      <c r="F101" s="106">
        <v>2830</v>
      </c>
      <c r="G101" s="106">
        <v>1210</v>
      </c>
    </row>
    <row r="102" spans="1:13" s="39" customFormat="1" ht="15.6" x14ac:dyDescent="0.3">
      <c r="A102" s="18" t="s">
        <v>37</v>
      </c>
      <c r="B102" s="11" t="s">
        <v>11</v>
      </c>
      <c r="C102" s="173"/>
      <c r="D102" s="155"/>
      <c r="E102" s="113">
        <v>825</v>
      </c>
      <c r="F102" s="106">
        <v>875</v>
      </c>
      <c r="G102" s="106">
        <v>566</v>
      </c>
    </row>
    <row r="103" spans="1:13" s="39" customFormat="1" ht="16.2" thickBot="1" x14ac:dyDescent="0.35">
      <c r="A103" s="19" t="s">
        <v>36</v>
      </c>
      <c r="B103" s="20" t="s">
        <v>11</v>
      </c>
      <c r="C103" s="62"/>
      <c r="D103" s="156"/>
      <c r="E103" s="114">
        <v>125</v>
      </c>
      <c r="F103" s="108">
        <v>148</v>
      </c>
      <c r="G103" s="108">
        <v>85</v>
      </c>
    </row>
    <row r="104" spans="1:13" s="39" customFormat="1" ht="15.6" x14ac:dyDescent="0.3">
      <c r="A104" s="152"/>
      <c r="B104" s="45"/>
      <c r="C104" s="45"/>
      <c r="D104" s="153"/>
      <c r="E104" s="109"/>
      <c r="F104" s="109"/>
      <c r="G104" s="110"/>
    </row>
    <row r="105" spans="1:13" s="35" customFormat="1" ht="16.2" thickBot="1" x14ac:dyDescent="0.35">
      <c r="A105" s="43"/>
      <c r="B105" s="38"/>
      <c r="C105" s="38"/>
      <c r="D105" s="38"/>
      <c r="E105" s="28"/>
      <c r="F105" s="28"/>
      <c r="G105" s="44"/>
    </row>
    <row r="106" spans="1:13" s="39" customFormat="1" ht="18.600000000000001" thickBot="1" x14ac:dyDescent="0.35">
      <c r="A106" s="27" t="s">
        <v>2</v>
      </c>
      <c r="B106" s="41"/>
      <c r="C106" s="41"/>
      <c r="D106" s="41"/>
      <c r="E106" s="88"/>
      <c r="F106" s="89"/>
      <c r="G106" s="90"/>
    </row>
    <row r="107" spans="1:13" s="39" customFormat="1" ht="26.25" customHeight="1" thickBot="1" x14ac:dyDescent="0.35">
      <c r="A107" s="26" t="s">
        <v>4</v>
      </c>
      <c r="B107" s="7" t="s">
        <v>0</v>
      </c>
      <c r="C107" s="7" t="s">
        <v>52</v>
      </c>
      <c r="D107" s="60" t="s">
        <v>117</v>
      </c>
      <c r="E107" s="151">
        <v>2022</v>
      </c>
      <c r="F107" s="83" t="s">
        <v>68</v>
      </c>
      <c r="G107" s="83" t="s">
        <v>43</v>
      </c>
    </row>
    <row r="108" spans="1:13" s="39" customFormat="1" ht="15" customHeight="1" x14ac:dyDescent="0.3">
      <c r="A108" s="14"/>
      <c r="B108" s="15"/>
      <c r="C108" s="15"/>
      <c r="D108" s="72"/>
      <c r="E108" s="73"/>
      <c r="F108" s="42"/>
      <c r="G108" s="29"/>
    </row>
    <row r="109" spans="1:13" s="39" customFormat="1" ht="15" customHeight="1" x14ac:dyDescent="0.3">
      <c r="A109" s="16" t="s">
        <v>19</v>
      </c>
      <c r="B109" s="13"/>
      <c r="C109" s="13"/>
      <c r="D109" s="172"/>
      <c r="E109" s="74"/>
      <c r="F109" s="40"/>
      <c r="G109" s="31"/>
      <c r="I109" s="2" t="s">
        <v>73</v>
      </c>
      <c r="J109" s="2"/>
      <c r="K109" s="2"/>
      <c r="L109" s="2"/>
      <c r="M109" s="49" t="s">
        <v>78</v>
      </c>
    </row>
    <row r="110" spans="1:13" s="39" customFormat="1" ht="15" customHeight="1" x14ac:dyDescent="0.3">
      <c r="A110" s="17" t="s">
        <v>16</v>
      </c>
      <c r="B110" s="11"/>
      <c r="C110" s="11"/>
      <c r="D110" s="173"/>
      <c r="E110" s="66"/>
      <c r="F110" s="12"/>
      <c r="G110" s="30"/>
      <c r="I110" s="2">
        <v>0.03</v>
      </c>
      <c r="J110" s="2">
        <v>0.03</v>
      </c>
      <c r="K110" s="2">
        <v>0.04</v>
      </c>
      <c r="L110" s="2">
        <v>0.2</v>
      </c>
      <c r="M110" s="50">
        <f>SUM(I110:L110)/4</f>
        <v>7.5000000000000011E-2</v>
      </c>
    </row>
    <row r="111" spans="1:13" s="39" customFormat="1" ht="15" customHeight="1" x14ac:dyDescent="0.3">
      <c r="A111" s="18" t="s">
        <v>17</v>
      </c>
      <c r="B111" s="11" t="s">
        <v>13</v>
      </c>
      <c r="C111" s="11"/>
      <c r="D111" s="173"/>
      <c r="E111" s="66">
        <f>E112-E113</f>
        <v>2218.4630000000002</v>
      </c>
      <c r="F111" s="66">
        <f>[3]Månedsrapport!$P$18</f>
        <v>2184.02</v>
      </c>
      <c r="G111" s="30">
        <f>[4]Månedsrapport!$P$16</f>
        <v>2137.56</v>
      </c>
      <c r="I111" s="2">
        <v>0.47</v>
      </c>
      <c r="J111" s="2">
        <v>1.65</v>
      </c>
      <c r="K111" s="2">
        <v>0.17</v>
      </c>
      <c r="L111" s="2">
        <v>11.1</v>
      </c>
      <c r="M111" s="50">
        <f>SUM(I111:L111)/4</f>
        <v>3.3475000000000001</v>
      </c>
    </row>
    <row r="112" spans="1:13" s="39" customFormat="1" ht="15" customHeight="1" x14ac:dyDescent="0.3">
      <c r="A112" s="18" t="s">
        <v>38</v>
      </c>
      <c r="B112" s="11" t="s">
        <v>13</v>
      </c>
      <c r="C112" s="11"/>
      <c r="D112" s="173"/>
      <c r="E112" s="66">
        <f>[1]Månedsrapport!$P$21</f>
        <v>2398.4630000000002</v>
      </c>
      <c r="F112" s="66">
        <f>F111+F113</f>
        <v>2344.02</v>
      </c>
      <c r="G112" s="30">
        <f>G111+G113</f>
        <v>2296.56</v>
      </c>
      <c r="I112" s="2"/>
      <c r="J112" s="2"/>
      <c r="K112" s="2"/>
      <c r="L112" s="2"/>
      <c r="M112" s="50"/>
    </row>
    <row r="113" spans="1:14" s="39" customFormat="1" ht="15" customHeight="1" x14ac:dyDescent="0.3">
      <c r="A113" s="18" t="s">
        <v>39</v>
      </c>
      <c r="B113" s="11" t="s">
        <v>13</v>
      </c>
      <c r="C113" s="11"/>
      <c r="D113" s="173"/>
      <c r="E113" s="66">
        <v>180</v>
      </c>
      <c r="F113" s="66">
        <v>160</v>
      </c>
      <c r="G113" s="30">
        <v>159</v>
      </c>
      <c r="I113" s="2" t="s">
        <v>74</v>
      </c>
      <c r="J113" s="2"/>
      <c r="K113" s="2"/>
      <c r="L113" s="2"/>
      <c r="M113" s="50"/>
    </row>
    <row r="114" spans="1:14" s="54" customFormat="1" ht="15" customHeight="1" x14ac:dyDescent="0.3">
      <c r="A114" s="55" t="s">
        <v>89</v>
      </c>
      <c r="B114" s="52" t="s">
        <v>18</v>
      </c>
      <c r="C114" s="52"/>
      <c r="D114" s="174"/>
      <c r="E114" s="75">
        <f>SUM(E115:E119)/5</f>
        <v>5.3398666666666657</v>
      </c>
      <c r="F114" s="75">
        <f>SUM(F115:F119)/5</f>
        <v>0</v>
      </c>
      <c r="G114" s="175">
        <f>(0.586+2.9)/2</f>
        <v>1.7429999999999999</v>
      </c>
      <c r="I114" s="54">
        <v>0.03</v>
      </c>
      <c r="J114" s="54">
        <v>0.03</v>
      </c>
      <c r="K114" s="54">
        <v>0.03</v>
      </c>
      <c r="M114" s="57">
        <f>SUM(I114:L114)/3</f>
        <v>0.03</v>
      </c>
    </row>
    <row r="115" spans="1:14" s="39" customFormat="1" ht="15" customHeight="1" x14ac:dyDescent="0.3">
      <c r="A115" s="18" t="s">
        <v>79</v>
      </c>
      <c r="B115" s="11" t="s">
        <v>18</v>
      </c>
      <c r="C115" s="11"/>
      <c r="D115" s="173"/>
      <c r="E115" s="69">
        <f>M111</f>
        <v>3.3475000000000001</v>
      </c>
      <c r="F115" s="69"/>
      <c r="G115" s="176"/>
      <c r="I115" s="2">
        <v>0.68</v>
      </c>
      <c r="J115" s="2">
        <v>3.13</v>
      </c>
      <c r="K115" s="2">
        <v>3.72</v>
      </c>
      <c r="L115" s="2"/>
      <c r="M115" s="50">
        <f>SUM(I115:L115)/3</f>
        <v>2.5100000000000002</v>
      </c>
    </row>
    <row r="116" spans="1:14" s="39" customFormat="1" ht="15" customHeight="1" x14ac:dyDescent="0.3">
      <c r="A116" s="18" t="s">
        <v>80</v>
      </c>
      <c r="B116" s="11" t="s">
        <v>18</v>
      </c>
      <c r="C116" s="11"/>
      <c r="D116" s="173"/>
      <c r="E116" s="69">
        <f>M115</f>
        <v>2.5100000000000002</v>
      </c>
      <c r="F116" s="69"/>
      <c r="G116" s="176"/>
      <c r="I116" s="2"/>
      <c r="J116" s="2"/>
      <c r="K116" s="2"/>
      <c r="L116" s="2"/>
      <c r="M116" s="50"/>
    </row>
    <row r="117" spans="1:14" s="39" customFormat="1" ht="15" customHeight="1" x14ac:dyDescent="0.3">
      <c r="A117" s="18" t="s">
        <v>81</v>
      </c>
      <c r="B117" s="11" t="s">
        <v>18</v>
      </c>
      <c r="C117" s="11"/>
      <c r="D117" s="173"/>
      <c r="E117" s="69">
        <f>M119</f>
        <v>2.7433333333333336</v>
      </c>
      <c r="F117" s="69"/>
      <c r="G117" s="176"/>
      <c r="I117" s="2" t="s">
        <v>75</v>
      </c>
      <c r="J117" s="2"/>
      <c r="K117" s="2"/>
      <c r="L117" s="2"/>
      <c r="M117" s="50"/>
    </row>
    <row r="118" spans="1:14" s="39" customFormat="1" ht="15" customHeight="1" x14ac:dyDescent="0.3">
      <c r="A118" s="18" t="s">
        <v>82</v>
      </c>
      <c r="B118" s="11" t="s">
        <v>18</v>
      </c>
      <c r="C118" s="11"/>
      <c r="D118" s="173"/>
      <c r="E118" s="69">
        <f>M123</f>
        <v>2.3409999999999997</v>
      </c>
      <c r="F118" s="69"/>
      <c r="G118" s="176"/>
      <c r="I118" s="2">
        <v>0.03</v>
      </c>
      <c r="J118" s="2">
        <v>0.03</v>
      </c>
      <c r="K118" s="2">
        <v>7.0000000000000007E-2</v>
      </c>
      <c r="L118" s="2"/>
      <c r="M118" s="50">
        <f t="shared" ref="M118:M119" si="3">SUM(I118:L118)/3</f>
        <v>4.3333333333333335E-2</v>
      </c>
    </row>
    <row r="119" spans="1:14" s="39" customFormat="1" ht="15" customHeight="1" x14ac:dyDescent="0.3">
      <c r="A119" s="18" t="s">
        <v>83</v>
      </c>
      <c r="B119" s="11" t="s">
        <v>18</v>
      </c>
      <c r="C119" s="11"/>
      <c r="D119" s="173"/>
      <c r="E119" s="69">
        <f>M127</f>
        <v>15.757499999999997</v>
      </c>
      <c r="F119" s="69"/>
      <c r="G119" s="176"/>
      <c r="I119" s="2">
        <v>1.83</v>
      </c>
      <c r="J119" s="2">
        <v>3.53</v>
      </c>
      <c r="K119" s="2">
        <v>2.87</v>
      </c>
      <c r="L119" s="2"/>
      <c r="M119" s="50">
        <f t="shared" si="3"/>
        <v>2.7433333333333336</v>
      </c>
    </row>
    <row r="120" spans="1:14" s="54" customFormat="1" ht="15" customHeight="1" x14ac:dyDescent="0.3">
      <c r="A120" s="55" t="s">
        <v>90</v>
      </c>
      <c r="B120" s="52" t="s">
        <v>18</v>
      </c>
      <c r="C120" s="52"/>
      <c r="D120" s="174"/>
      <c r="E120" s="67">
        <f>SUM(E121:E125)/5</f>
        <v>5.3166666666666661E-2</v>
      </c>
      <c r="F120" s="67">
        <f>SUM(F121:F125)/5</f>
        <v>0</v>
      </c>
      <c r="G120" s="175"/>
      <c r="M120" s="57"/>
    </row>
    <row r="121" spans="1:14" s="39" customFormat="1" ht="15" customHeight="1" x14ac:dyDescent="0.3">
      <c r="A121" s="18" t="s">
        <v>84</v>
      </c>
      <c r="B121" s="11" t="s">
        <v>18</v>
      </c>
      <c r="C121" s="11"/>
      <c r="D121" s="173"/>
      <c r="E121" s="69">
        <f>M110</f>
        <v>7.5000000000000011E-2</v>
      </c>
      <c r="F121" s="69"/>
      <c r="G121" s="177"/>
      <c r="I121" s="2" t="s">
        <v>76</v>
      </c>
      <c r="J121" s="2"/>
      <c r="K121" s="2"/>
      <c r="L121" s="2"/>
      <c r="M121" s="50"/>
      <c r="N121" s="35"/>
    </row>
    <row r="122" spans="1:14" s="39" customFormat="1" ht="15" customHeight="1" x14ac:dyDescent="0.3">
      <c r="A122" s="18" t="s">
        <v>85</v>
      </c>
      <c r="B122" s="11" t="s">
        <v>18</v>
      </c>
      <c r="C122" s="11"/>
      <c r="D122" s="173"/>
      <c r="E122" s="69">
        <f>M114</f>
        <v>0.03</v>
      </c>
      <c r="F122" s="69"/>
      <c r="G122" s="177"/>
      <c r="I122" s="2">
        <v>0.03</v>
      </c>
      <c r="J122" s="2">
        <v>0.03</v>
      </c>
      <c r="K122" s="2">
        <v>0.15</v>
      </c>
      <c r="L122" s="2"/>
      <c r="M122" s="50">
        <f t="shared" ref="M122:M123" si="4">SUM(I122:L122)/3</f>
        <v>6.9999999999999993E-2</v>
      </c>
    </row>
    <row r="123" spans="1:14" s="39" customFormat="1" ht="15" customHeight="1" x14ac:dyDescent="0.3">
      <c r="A123" s="18" t="s">
        <v>86</v>
      </c>
      <c r="B123" s="11" t="s">
        <v>18</v>
      </c>
      <c r="C123" s="11"/>
      <c r="D123" s="173"/>
      <c r="E123" s="69">
        <f>M118</f>
        <v>4.3333333333333335E-2</v>
      </c>
      <c r="F123" s="69"/>
      <c r="G123" s="177"/>
      <c r="I123" s="2">
        <v>5.37</v>
      </c>
      <c r="J123" s="2">
        <v>1.5</v>
      </c>
      <c r="K123" s="2">
        <v>0.153</v>
      </c>
      <c r="L123" s="2"/>
      <c r="M123" s="50">
        <f t="shared" si="4"/>
        <v>2.3409999999999997</v>
      </c>
    </row>
    <row r="124" spans="1:14" s="39" customFormat="1" ht="15" customHeight="1" x14ac:dyDescent="0.3">
      <c r="A124" s="18" t="s">
        <v>87</v>
      </c>
      <c r="B124" s="11" t="s">
        <v>18</v>
      </c>
      <c r="C124" s="11"/>
      <c r="D124" s="173"/>
      <c r="E124" s="69">
        <f>M122</f>
        <v>6.9999999999999993E-2</v>
      </c>
      <c r="F124" s="69"/>
      <c r="G124" s="176"/>
      <c r="I124" s="2"/>
      <c r="J124" s="2"/>
      <c r="K124" s="2"/>
      <c r="L124" s="2"/>
      <c r="M124" s="50"/>
    </row>
    <row r="125" spans="1:14" s="39" customFormat="1" ht="15" customHeight="1" x14ac:dyDescent="0.3">
      <c r="A125" s="18" t="s">
        <v>88</v>
      </c>
      <c r="B125" s="11" t="s">
        <v>18</v>
      </c>
      <c r="C125" s="11"/>
      <c r="D125" s="173"/>
      <c r="E125" s="69">
        <f>M126</f>
        <v>4.7500000000000007E-2</v>
      </c>
      <c r="F125" s="69"/>
      <c r="G125" s="176"/>
      <c r="I125" s="2" t="s">
        <v>77</v>
      </c>
      <c r="J125" s="2"/>
      <c r="K125" s="2"/>
      <c r="L125" s="2"/>
      <c r="M125" s="50"/>
    </row>
    <row r="126" spans="1:14" s="39" customFormat="1" ht="15" customHeight="1" x14ac:dyDescent="0.3">
      <c r="A126" s="17"/>
      <c r="B126" s="9"/>
      <c r="C126" s="9"/>
      <c r="D126" s="178"/>
      <c r="E126" s="76"/>
      <c r="F126" s="76"/>
      <c r="G126" s="179"/>
      <c r="I126" s="2">
        <v>0.03</v>
      </c>
      <c r="J126" s="2">
        <v>7.0000000000000007E-2</v>
      </c>
      <c r="K126" s="2">
        <v>0.05</v>
      </c>
      <c r="L126" s="2">
        <v>0.04</v>
      </c>
      <c r="M126" s="50">
        <f t="shared" ref="M126:M127" si="5">SUM(I126:L126)/4</f>
        <v>4.7500000000000007E-2</v>
      </c>
    </row>
    <row r="127" spans="1:14" s="39" customFormat="1" ht="15.6" x14ac:dyDescent="0.3">
      <c r="A127" s="17" t="s">
        <v>103</v>
      </c>
      <c r="B127" s="11"/>
      <c r="C127" s="11"/>
      <c r="D127" s="173"/>
      <c r="E127" s="71"/>
      <c r="F127" s="71"/>
      <c r="G127" s="180"/>
      <c r="I127" s="2">
        <v>0.16</v>
      </c>
      <c r="J127" s="2">
        <v>50.8</v>
      </c>
      <c r="K127" s="2">
        <v>9.02</v>
      </c>
      <c r="L127" s="2">
        <v>3.05</v>
      </c>
      <c r="M127" s="50">
        <f t="shared" si="5"/>
        <v>15.757499999999997</v>
      </c>
    </row>
    <row r="128" spans="1:14" s="39" customFormat="1" ht="15.6" x14ac:dyDescent="0.3">
      <c r="A128" s="18" t="s">
        <v>104</v>
      </c>
      <c r="B128" s="11" t="s">
        <v>30</v>
      </c>
      <c r="C128" s="11"/>
      <c r="D128" s="181">
        <v>106516</v>
      </c>
      <c r="E128" s="69">
        <f>D128/400</f>
        <v>266.29000000000002</v>
      </c>
      <c r="F128" s="69">
        <v>238.36</v>
      </c>
      <c r="G128" s="176">
        <f>[4]Månedsrapport!$P$17</f>
        <v>218.55000000000004</v>
      </c>
      <c r="I128" s="2"/>
      <c r="J128" s="2"/>
      <c r="K128" s="2"/>
      <c r="L128" s="2"/>
      <c r="M128" s="2"/>
    </row>
    <row r="129" spans="1:13" s="54" customFormat="1" ht="15.6" x14ac:dyDescent="0.3">
      <c r="A129" s="51" t="s">
        <v>101</v>
      </c>
      <c r="B129" s="52" t="s">
        <v>100</v>
      </c>
      <c r="C129" s="52"/>
      <c r="D129" s="174"/>
      <c r="E129" s="70">
        <f>(E128/E47)*1000</f>
        <v>5.6575869220062902</v>
      </c>
      <c r="F129" s="70">
        <f>(F128/F47)*1000</f>
        <v>5.1766165307721579</v>
      </c>
      <c r="G129" s="182">
        <f>(G128/G47)*1000</f>
        <v>6.4104068283811939</v>
      </c>
    </row>
    <row r="130" spans="1:13" s="39" customFormat="1" ht="15.6" x14ac:dyDescent="0.3">
      <c r="A130" s="18" t="s">
        <v>20</v>
      </c>
      <c r="B130" s="11" t="s">
        <v>30</v>
      </c>
      <c r="C130" s="11"/>
      <c r="D130" s="173"/>
      <c r="E130" s="69">
        <v>0</v>
      </c>
      <c r="F130" s="69">
        <v>0</v>
      </c>
      <c r="G130" s="176">
        <v>0</v>
      </c>
    </row>
    <row r="131" spans="1:13" s="35" customFormat="1" ht="15.6" x14ac:dyDescent="0.3">
      <c r="A131" s="37"/>
      <c r="B131" s="36"/>
      <c r="C131" s="36"/>
      <c r="D131" s="183"/>
      <c r="E131" s="71"/>
      <c r="F131" s="71"/>
      <c r="G131" s="180"/>
    </row>
    <row r="132" spans="1:13" s="39" customFormat="1" ht="15.6" x14ac:dyDescent="0.3">
      <c r="A132" s="17" t="s">
        <v>21</v>
      </c>
      <c r="B132" s="11"/>
      <c r="C132" s="11"/>
      <c r="D132" s="173"/>
      <c r="E132" s="71"/>
      <c r="F132" s="71"/>
      <c r="G132" s="180"/>
    </row>
    <row r="133" spans="1:13" s="39" customFormat="1" ht="15.6" x14ac:dyDescent="0.3">
      <c r="A133" s="18" t="s">
        <v>22</v>
      </c>
      <c r="B133" s="11" t="s">
        <v>23</v>
      </c>
      <c r="C133" s="11"/>
      <c r="D133" s="173"/>
      <c r="E133" s="66">
        <v>0</v>
      </c>
      <c r="F133" s="66">
        <v>0</v>
      </c>
      <c r="G133" s="30">
        <v>0</v>
      </c>
      <c r="M133" s="47"/>
    </row>
    <row r="134" spans="1:13" s="39" customFormat="1" ht="15.6" x14ac:dyDescent="0.3">
      <c r="A134" s="18" t="s">
        <v>24</v>
      </c>
      <c r="B134" s="11" t="s">
        <v>23</v>
      </c>
      <c r="C134" s="11"/>
      <c r="D134" s="173"/>
      <c r="E134" s="66">
        <v>600</v>
      </c>
      <c r="F134" s="66">
        <v>600</v>
      </c>
      <c r="G134" s="30">
        <v>600</v>
      </c>
    </row>
    <row r="135" spans="1:13" s="39" customFormat="1" ht="15.6" x14ac:dyDescent="0.3">
      <c r="A135" s="18"/>
      <c r="B135" s="11"/>
      <c r="C135" s="11"/>
      <c r="D135" s="173"/>
      <c r="E135" s="71"/>
      <c r="F135" s="71"/>
      <c r="G135" s="180"/>
    </row>
    <row r="136" spans="1:13" s="39" customFormat="1" ht="15.6" x14ac:dyDescent="0.3">
      <c r="A136" s="17" t="s">
        <v>28</v>
      </c>
      <c r="B136" s="11"/>
      <c r="C136" s="11"/>
      <c r="D136" s="173"/>
      <c r="E136" s="66"/>
      <c r="F136" s="66"/>
      <c r="G136" s="180"/>
    </row>
    <row r="137" spans="1:13" s="39" customFormat="1" ht="15.6" x14ac:dyDescent="0.3">
      <c r="A137" s="18" t="s">
        <v>26</v>
      </c>
      <c r="B137" s="11" t="s">
        <v>11</v>
      </c>
      <c r="C137" s="11"/>
      <c r="D137" s="173"/>
      <c r="E137" s="66">
        <v>150</v>
      </c>
      <c r="F137" s="66">
        <v>145</v>
      </c>
      <c r="G137" s="30">
        <v>85</v>
      </c>
    </row>
    <row r="138" spans="1:13" s="39" customFormat="1" ht="15.6" x14ac:dyDescent="0.3">
      <c r="A138" s="18" t="s">
        <v>27</v>
      </c>
      <c r="B138" s="11" t="s">
        <v>11</v>
      </c>
      <c r="C138" s="11"/>
      <c r="D138" s="173"/>
      <c r="E138" s="69">
        <v>50</v>
      </c>
      <c r="F138" s="69">
        <v>45</v>
      </c>
      <c r="G138" s="176">
        <v>15</v>
      </c>
      <c r="M138" s="48"/>
    </row>
    <row r="139" spans="1:13" s="39" customFormat="1" ht="16.2" thickBot="1" x14ac:dyDescent="0.35">
      <c r="A139" s="19"/>
      <c r="B139" s="20"/>
      <c r="C139" s="20"/>
      <c r="D139" s="62"/>
      <c r="E139" s="77"/>
      <c r="F139" s="77"/>
      <c r="G139" s="184"/>
    </row>
    <row r="140" spans="1:13" s="39" customFormat="1" ht="15.6" x14ac:dyDescent="0.3">
      <c r="A140" s="4"/>
      <c r="B140" s="45"/>
      <c r="C140" s="45"/>
      <c r="D140" s="45"/>
      <c r="E140" s="46"/>
      <c r="F140" s="46"/>
      <c r="G140" s="46"/>
    </row>
  </sheetData>
  <mergeCells count="7">
    <mergeCell ref="D99:D103"/>
    <mergeCell ref="E3:G3"/>
    <mergeCell ref="A4:F4"/>
    <mergeCell ref="A6:G6"/>
    <mergeCell ref="A7:G7"/>
    <mergeCell ref="E5:G5"/>
    <mergeCell ref="C15:C16"/>
  </mergeCells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Nøgletal 2020-2021</vt:lpstr>
    </vt:vector>
  </TitlesOfParts>
  <Company>Grenaa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KTR</dc:creator>
  <cp:lastModifiedBy>Michael Meldgaard</cp:lastModifiedBy>
  <cp:lastPrinted>2023-02-14T12:08:51Z</cp:lastPrinted>
  <dcterms:created xsi:type="dcterms:W3CDTF">2004-02-27T09:49:39Z</dcterms:created>
  <dcterms:modified xsi:type="dcterms:W3CDTF">2023-02-15T07:38:02Z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2023-02-14T09:03:37Z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28540e77-0f70-45e9-b3ca-0a03ac6d3494</vt:lpwstr>
  </property>
  <property fmtid="{D5CDD505-2E9C-101B-9397-08002B2CF9AE}" pid="7" name="MSIP_Label_defa4170-0d19-0005-0004-bc88714345d2_ActionId">
    <vt:lpwstr>e26634c5-6bfa-4167-95b6-7cb9e4437230</vt:lpwstr>
  </property>
  <property fmtid="{D5CDD505-2E9C-101B-9397-08002B2CF9AE}" pid="8" name="MSIP_Label_defa4170-0d19-0005-0004-bc88714345d2_ContentBits">
    <vt:lpwstr>0</vt:lpwstr>
  </property>
</Properties>
</file>